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291" windowHeight="7214"/>
  </bookViews>
  <sheets>
    <sheet name="прил.1" sheetId="9" r:id="rId1"/>
    <sheet name="1." sheetId="1" r:id="rId2"/>
    <sheet name="2." sheetId="2" r:id="rId3"/>
    <sheet name="2.1" sheetId="3" r:id="rId4"/>
    <sheet name="3." sheetId="4" r:id="rId5"/>
    <sheet name="4." sheetId="5" r:id="rId6"/>
    <sheet name="4" sheetId="7" r:id="rId7"/>
    <sheet name="3" sheetId="6" r:id="rId8"/>
    <sheet name="расчёты к плану" sheetId="10" r:id="rId9"/>
    <sheet name="расчёты на 01.01.2019" sheetId="11" r:id="rId10"/>
  </sheets>
  <definedNames>
    <definedName name="_xlnm._FilterDatabase" localSheetId="9" hidden="1">'расчёты на 01.01.2019'!$B$13:$P$13</definedName>
    <definedName name="_xlnm.Print_Area" localSheetId="8">'расчёты к плану'!$A$1:$P$194</definedName>
    <definedName name="_xlnm.Print_Area" localSheetId="9">'расчёты на 01.01.2019'!$A$1:$P$194</definedName>
  </definedNames>
  <calcPr calcId="152511"/>
</workbook>
</file>

<file path=xl/calcChain.xml><?xml version="1.0" encoding="utf-8"?>
<calcChain xmlns="http://schemas.openxmlformats.org/spreadsheetml/2006/main">
  <c r="F31" i="2" l="1"/>
  <c r="H167" i="10"/>
  <c r="F179" i="10" l="1"/>
  <c r="H169" i="10"/>
  <c r="F38" i="2"/>
  <c r="O17" i="11" l="1"/>
  <c r="O25" i="11"/>
  <c r="O14" i="11"/>
  <c r="E191" i="11" l="1"/>
  <c r="F179" i="11"/>
  <c r="F180" i="11" s="1"/>
  <c r="J190" i="11" s="1"/>
  <c r="H169" i="11"/>
  <c r="F153" i="11"/>
  <c r="F152" i="11"/>
  <c r="F150" i="11"/>
  <c r="F149" i="11"/>
  <c r="F148" i="11"/>
  <c r="F147" i="11"/>
  <c r="F146" i="11"/>
  <c r="F145" i="11"/>
  <c r="F154" i="11" s="1"/>
  <c r="E137" i="11"/>
  <c r="E138" i="11" s="1"/>
  <c r="F122" i="11"/>
  <c r="F115" i="11"/>
  <c r="F123" i="11" s="1"/>
  <c r="H106" i="11"/>
  <c r="H105" i="11"/>
  <c r="H104" i="11"/>
  <c r="H103" i="11"/>
  <c r="H107" i="11" s="1"/>
  <c r="H102" i="11"/>
  <c r="H95" i="11"/>
  <c r="H94" i="11"/>
  <c r="H93" i="11"/>
  <c r="H92" i="11"/>
  <c r="H91" i="11"/>
  <c r="H90" i="11"/>
  <c r="H96" i="11" s="1"/>
  <c r="E78" i="11"/>
  <c r="E75" i="11"/>
  <c r="E72" i="11"/>
  <c r="E71" i="11" s="1"/>
  <c r="E67" i="11"/>
  <c r="E66" i="11" s="1"/>
  <c r="K58" i="11"/>
  <c r="K57" i="11"/>
  <c r="K59" i="11" s="1"/>
  <c r="L50" i="11"/>
  <c r="H50" i="11"/>
  <c r="D50" i="11"/>
  <c r="E49" i="11"/>
  <c r="N49" i="11" s="1"/>
  <c r="P49" i="11" s="1"/>
  <c r="E48" i="11"/>
  <c r="N48" i="11" s="1"/>
  <c r="P48" i="11" s="1"/>
  <c r="E47" i="11"/>
  <c r="N47" i="11" s="1"/>
  <c r="P47" i="11" s="1"/>
  <c r="E46" i="11"/>
  <c r="N46" i="11" s="1"/>
  <c r="P46" i="11" s="1"/>
  <c r="E45" i="11"/>
  <c r="N45" i="11" s="1"/>
  <c r="P45" i="11" s="1"/>
  <c r="E44" i="11"/>
  <c r="N44" i="11" s="1"/>
  <c r="P44" i="11" s="1"/>
  <c r="E43" i="11"/>
  <c r="N43" i="11" s="1"/>
  <c r="P43" i="11" s="1"/>
  <c r="E42" i="11"/>
  <c r="N42" i="11" s="1"/>
  <c r="P42" i="11" s="1"/>
  <c r="E41" i="11"/>
  <c r="N41" i="11" s="1"/>
  <c r="P41" i="11" s="1"/>
  <c r="E40" i="11"/>
  <c r="N40" i="11" s="1"/>
  <c r="P40" i="11" s="1"/>
  <c r="E39" i="11"/>
  <c r="N39" i="11" s="1"/>
  <c r="P39" i="11" s="1"/>
  <c r="E38" i="11"/>
  <c r="N38" i="11" s="1"/>
  <c r="P38" i="11" s="1"/>
  <c r="E37" i="11"/>
  <c r="N37" i="11" s="1"/>
  <c r="P37" i="11" s="1"/>
  <c r="E36" i="11"/>
  <c r="N36" i="11" s="1"/>
  <c r="P36" i="11" s="1"/>
  <c r="O35" i="11"/>
  <c r="N35" i="11"/>
  <c r="P35" i="11" s="1"/>
  <c r="E35" i="11"/>
  <c r="O34" i="11"/>
  <c r="E34" i="11"/>
  <c r="N34" i="11" s="1"/>
  <c r="P33" i="11"/>
  <c r="E33" i="11"/>
  <c r="N33" i="11" s="1"/>
  <c r="F32" i="11"/>
  <c r="O32" i="11" s="1"/>
  <c r="E32" i="11"/>
  <c r="N32" i="11" s="1"/>
  <c r="P32" i="11" s="1"/>
  <c r="F31" i="11"/>
  <c r="O31" i="11" s="1"/>
  <c r="E31" i="11"/>
  <c r="N31" i="11" s="1"/>
  <c r="O30" i="11"/>
  <c r="N30" i="11"/>
  <c r="P30" i="11" s="1"/>
  <c r="E30" i="11"/>
  <c r="O29" i="11"/>
  <c r="E29" i="11"/>
  <c r="N29" i="11" s="1"/>
  <c r="P29" i="11" s="1"/>
  <c r="F28" i="11"/>
  <c r="O28" i="11" s="1"/>
  <c r="E28" i="11"/>
  <c r="N28" i="11" s="1"/>
  <c r="P28" i="11" s="1"/>
  <c r="F27" i="11"/>
  <c r="O27" i="11" s="1"/>
  <c r="E27" i="11"/>
  <c r="N27" i="11" s="1"/>
  <c r="P27" i="11" s="1"/>
  <c r="F26" i="11"/>
  <c r="O26" i="11" s="1"/>
  <c r="E26" i="11"/>
  <c r="N26" i="11" s="1"/>
  <c r="P26" i="11" s="1"/>
  <c r="F25" i="11"/>
  <c r="E25" i="11"/>
  <c r="N25" i="11" s="1"/>
  <c r="P25" i="11" s="1"/>
  <c r="F24" i="11"/>
  <c r="O24" i="11" s="1"/>
  <c r="E24" i="11"/>
  <c r="N24" i="11" s="1"/>
  <c r="P24" i="11" s="1"/>
  <c r="F23" i="11"/>
  <c r="O23" i="11" s="1"/>
  <c r="E23" i="11"/>
  <c r="N23" i="11" s="1"/>
  <c r="P23" i="11" s="1"/>
  <c r="F22" i="11"/>
  <c r="O22" i="11" s="1"/>
  <c r="E22" i="11"/>
  <c r="N22" i="11" s="1"/>
  <c r="P22" i="11" s="1"/>
  <c r="F21" i="11"/>
  <c r="O21" i="11" s="1"/>
  <c r="E21" i="11"/>
  <c r="N21" i="11" s="1"/>
  <c r="P21" i="11" s="1"/>
  <c r="J20" i="11"/>
  <c r="F20" i="11"/>
  <c r="O19" i="11"/>
  <c r="J19" i="11"/>
  <c r="F19" i="11"/>
  <c r="E19" i="11"/>
  <c r="N19" i="11" s="1"/>
  <c r="J18" i="11"/>
  <c r="J50" i="11" s="1"/>
  <c r="F18" i="11"/>
  <c r="B18" i="1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E17" i="11"/>
  <c r="N17" i="11" s="1"/>
  <c r="O16" i="11"/>
  <c r="N16" i="11"/>
  <c r="P16" i="11" s="1"/>
  <c r="E16" i="11"/>
  <c r="B16" i="11"/>
  <c r="B17" i="11" s="1"/>
  <c r="O15" i="11"/>
  <c r="E15" i="11"/>
  <c r="N15" i="11" s="1"/>
  <c r="B15" i="11"/>
  <c r="F14" i="11"/>
  <c r="E14" i="11"/>
  <c r="P31" i="11" l="1"/>
  <c r="P17" i="11"/>
  <c r="N14" i="11"/>
  <c r="O20" i="11"/>
  <c r="E20" i="11"/>
  <c r="N20" i="11" s="1"/>
  <c r="F50" i="11"/>
  <c r="P15" i="11"/>
  <c r="O18" i="11"/>
  <c r="E18" i="11"/>
  <c r="N18" i="11" s="1"/>
  <c r="P18" i="11" s="1"/>
  <c r="P19" i="11"/>
  <c r="P34" i="11"/>
  <c r="E79" i="11"/>
  <c r="O50" i="11"/>
  <c r="E21" i="6"/>
  <c r="E9" i="6"/>
  <c r="E50" i="11" l="1"/>
  <c r="P20" i="11"/>
  <c r="N50" i="11"/>
  <c r="P14" i="11"/>
  <c r="P50" i="11" s="1"/>
  <c r="N190" i="11" s="1"/>
  <c r="P50" i="10"/>
  <c r="J19" i="10"/>
  <c r="J20" i="10"/>
  <c r="J18" i="10"/>
  <c r="B19" i="10" l="1"/>
  <c r="B20" i="10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18" i="10"/>
  <c r="B15" i="10"/>
  <c r="B16" i="10"/>
  <c r="B17" i="10" s="1"/>
  <c r="F50" i="10" l="1"/>
  <c r="J50" i="10"/>
  <c r="O50" i="10"/>
  <c r="D50" i="10"/>
  <c r="P25" i="10"/>
  <c r="P26" i="10"/>
  <c r="P27" i="10"/>
  <c r="P28" i="10"/>
  <c r="P29" i="10"/>
  <c r="O25" i="10"/>
  <c r="O26" i="10"/>
  <c r="O27" i="10"/>
  <c r="O28" i="10"/>
  <c r="O29" i="10"/>
  <c r="E29" i="10"/>
  <c r="E30" i="10"/>
  <c r="N25" i="10"/>
  <c r="N26" i="10"/>
  <c r="N27" i="10"/>
  <c r="N28" i="10"/>
  <c r="N29" i="10"/>
  <c r="N30" i="10"/>
  <c r="N31" i="10"/>
  <c r="N32" i="10"/>
  <c r="F32" i="10"/>
  <c r="F31" i="10"/>
  <c r="F28" i="10"/>
  <c r="E27" i="10"/>
  <c r="F27" i="10"/>
  <c r="F26" i="10"/>
  <c r="E25" i="10"/>
  <c r="F25" i="10"/>
  <c r="F24" i="10"/>
  <c r="F23" i="10"/>
  <c r="E23" i="10" s="1"/>
  <c r="N23" i="10" s="1"/>
  <c r="P23" i="10" s="1"/>
  <c r="O22" i="10"/>
  <c r="O23" i="10"/>
  <c r="F22" i="10"/>
  <c r="F21" i="10"/>
  <c r="E22" i="10"/>
  <c r="N22" i="10" s="1"/>
  <c r="P22" i="10" s="1"/>
  <c r="F20" i="10"/>
  <c r="F19" i="10"/>
  <c r="O19" i="10" s="1"/>
  <c r="F18" i="10"/>
  <c r="O18" i="10"/>
  <c r="E18" i="10"/>
  <c r="N18" i="10" s="1"/>
  <c r="P18" i="10" s="1"/>
  <c r="F14" i="10"/>
  <c r="E14" i="10" s="1"/>
  <c r="E19" i="10" l="1"/>
  <c r="B41" i="1"/>
  <c r="B38" i="1"/>
  <c r="N19" i="10" l="1"/>
  <c r="P19" i="10" l="1"/>
  <c r="E137" i="10" l="1"/>
  <c r="F152" i="10"/>
  <c r="F28" i="2" l="1"/>
  <c r="F148" i="10"/>
  <c r="F115" i="10"/>
  <c r="F122" i="10"/>
  <c r="G15" i="6" l="1"/>
  <c r="G8" i="6"/>
  <c r="B11" i="1" l="1"/>
  <c r="B25" i="1" l="1"/>
  <c r="B49" i="1"/>
  <c r="B43" i="1" s="1"/>
  <c r="B51" i="1"/>
  <c r="B59" i="1"/>
  <c r="J12" i="3"/>
  <c r="E42" i="6" l="1"/>
  <c r="D21" i="6"/>
  <c r="F15" i="6"/>
  <c r="E15" i="6" l="1"/>
  <c r="E8" i="6" s="1"/>
  <c r="D12" i="3" l="1"/>
  <c r="D15" i="6" l="1"/>
  <c r="C29" i="6"/>
  <c r="C24" i="6"/>
  <c r="C21" i="6" s="1"/>
  <c r="C15" i="6"/>
  <c r="C13" i="6"/>
  <c r="D38" i="2" l="1"/>
  <c r="F36" i="2"/>
  <c r="F26" i="2" s="1"/>
  <c r="F180" i="10" l="1"/>
  <c r="E191" i="10"/>
  <c r="J190" i="10" l="1"/>
  <c r="K58" i="10"/>
  <c r="K57" i="10"/>
  <c r="K59" i="10" l="1"/>
  <c r="F150" i="10" l="1"/>
  <c r="F147" i="10"/>
  <c r="F145" i="10"/>
  <c r="E138" i="10"/>
  <c r="E28" i="2"/>
  <c r="E26" i="2" s="1"/>
  <c r="F153" i="10" l="1"/>
  <c r="H106" i="10" l="1"/>
  <c r="H102" i="10"/>
  <c r="H90" i="10"/>
  <c r="H93" i="10"/>
  <c r="I28" i="2" l="1"/>
  <c r="I26" i="2" s="1"/>
  <c r="I12" i="2" l="1"/>
  <c r="F146" i="10" l="1"/>
  <c r="N14" i="10" l="1"/>
  <c r="D43" i="2" l="1"/>
  <c r="J13" i="3" s="1"/>
  <c r="J10" i="3" s="1"/>
  <c r="I9" i="2" l="1"/>
  <c r="D31" i="2" l="1"/>
  <c r="D30" i="2"/>
  <c r="G26" i="2"/>
  <c r="H26" i="2"/>
  <c r="J26" i="2"/>
  <c r="F149" i="10" l="1"/>
  <c r="F123" i="10"/>
  <c r="H105" i="10"/>
  <c r="H104" i="10"/>
  <c r="H103" i="10"/>
  <c r="H95" i="10"/>
  <c r="H94" i="10"/>
  <c r="H92" i="10"/>
  <c r="H91" i="10"/>
  <c r="E78" i="10"/>
  <c r="E75" i="10"/>
  <c r="E72" i="10"/>
  <c r="E67" i="10"/>
  <c r="E66" i="10" s="1"/>
  <c r="L50" i="10"/>
  <c r="H50" i="10"/>
  <c r="E49" i="10"/>
  <c r="N49" i="10" s="1"/>
  <c r="E48" i="10"/>
  <c r="N48" i="10" s="1"/>
  <c r="E47" i="10"/>
  <c r="N47" i="10" s="1"/>
  <c r="E46" i="10"/>
  <c r="N46" i="10" s="1"/>
  <c r="E45" i="10"/>
  <c r="N45" i="10" s="1"/>
  <c r="E44" i="10"/>
  <c r="N44" i="10" s="1"/>
  <c r="E43" i="10"/>
  <c r="N43" i="10" s="1"/>
  <c r="E42" i="10"/>
  <c r="N42" i="10" s="1"/>
  <c r="E41" i="10"/>
  <c r="N41" i="10" s="1"/>
  <c r="E40" i="10"/>
  <c r="N40" i="10" s="1"/>
  <c r="P40" i="10" s="1"/>
  <c r="E39" i="10"/>
  <c r="N39" i="10" s="1"/>
  <c r="P39" i="10" s="1"/>
  <c r="E38" i="10"/>
  <c r="N38" i="10" s="1"/>
  <c r="E37" i="10"/>
  <c r="N37" i="10" s="1"/>
  <c r="E36" i="10"/>
  <c r="N36" i="10" s="1"/>
  <c r="O35" i="10"/>
  <c r="E35" i="10"/>
  <c r="N35" i="10" s="1"/>
  <c r="O34" i="10"/>
  <c r="E34" i="10"/>
  <c r="N34" i="10" s="1"/>
  <c r="E33" i="10"/>
  <c r="N33" i="10" s="1"/>
  <c r="P33" i="10" s="1"/>
  <c r="O32" i="10"/>
  <c r="E32" i="10"/>
  <c r="O31" i="10"/>
  <c r="E31" i="10"/>
  <c r="O30" i="10"/>
  <c r="E28" i="10"/>
  <c r="E26" i="10"/>
  <c r="O24" i="10"/>
  <c r="E24" i="10"/>
  <c r="N24" i="10" s="1"/>
  <c r="O21" i="10"/>
  <c r="E21" i="10"/>
  <c r="N21" i="10" s="1"/>
  <c r="O20" i="10"/>
  <c r="E20" i="10"/>
  <c r="O17" i="10"/>
  <c r="E17" i="10"/>
  <c r="N17" i="10" s="1"/>
  <c r="O16" i="10"/>
  <c r="E16" i="10"/>
  <c r="N16" i="10" s="1"/>
  <c r="O15" i="10"/>
  <c r="E15" i="10"/>
  <c r="N15" i="10" s="1"/>
  <c r="O14" i="10"/>
  <c r="P14" i="10" s="1"/>
  <c r="N20" i="10" l="1"/>
  <c r="N50" i="10" s="1"/>
  <c r="E50" i="10"/>
  <c r="H107" i="10"/>
  <c r="H96" i="10"/>
  <c r="F154" i="10"/>
  <c r="E71" i="10"/>
  <c r="E79" i="10" s="1"/>
  <c r="P30" i="10"/>
  <c r="P34" i="10"/>
  <c r="P31" i="10"/>
  <c r="P16" i="10"/>
  <c r="P24" i="10"/>
  <c r="P15" i="10"/>
  <c r="P21" i="10"/>
  <c r="P17" i="10"/>
  <c r="P41" i="10"/>
  <c r="P45" i="10"/>
  <c r="P49" i="10"/>
  <c r="P42" i="10"/>
  <c r="P46" i="10"/>
  <c r="P32" i="10"/>
  <c r="P35" i="10"/>
  <c r="P37" i="10"/>
  <c r="P43" i="10"/>
  <c r="P47" i="10"/>
  <c r="P36" i="10"/>
  <c r="P38" i="10"/>
  <c r="P44" i="10"/>
  <c r="P48" i="10"/>
  <c r="P20" i="10" l="1"/>
  <c r="N190" i="10" l="1"/>
  <c r="D14" i="2"/>
  <c r="D35" i="2" l="1"/>
  <c r="D16" i="2" l="1"/>
  <c r="D40" i="2" l="1"/>
  <c r="D13" i="3" l="1"/>
  <c r="D10" i="3" s="1"/>
  <c r="D28" i="2" l="1"/>
  <c r="D26" i="2"/>
  <c r="F20" i="2" l="1"/>
  <c r="F9" i="2" s="1"/>
  <c r="F29" i="6"/>
  <c r="G29" i="6"/>
  <c r="D21" i="2" l="1"/>
  <c r="C42" i="6" l="1"/>
  <c r="C49" i="6" s="1"/>
  <c r="C41" i="6"/>
  <c r="C48" i="6" s="1"/>
  <c r="C39" i="6"/>
  <c r="C46" i="6" s="1"/>
  <c r="E49" i="6"/>
  <c r="F42" i="6"/>
  <c r="F49" i="6" s="1"/>
  <c r="G42" i="6"/>
  <c r="G49" i="6" s="1"/>
  <c r="D42" i="6"/>
  <c r="D49" i="6" s="1"/>
  <c r="E41" i="6"/>
  <c r="E48" i="6" s="1"/>
  <c r="F41" i="6"/>
  <c r="F48" i="6" s="1"/>
  <c r="G41" i="6"/>
  <c r="G48" i="6" s="1"/>
  <c r="D41" i="6"/>
  <c r="D48" i="6" s="1"/>
  <c r="E40" i="6"/>
  <c r="E47" i="6" s="1"/>
  <c r="E39" i="6"/>
  <c r="E46" i="6" s="1"/>
  <c r="F39" i="6"/>
  <c r="F46" i="6" s="1"/>
  <c r="G39" i="6"/>
  <c r="G46" i="6" s="1"/>
  <c r="D39" i="6"/>
  <c r="D46" i="6" s="1"/>
  <c r="D40" i="6"/>
  <c r="D47" i="6" s="1"/>
  <c r="F9" i="6" l="1"/>
  <c r="G9" i="6"/>
  <c r="D9" i="6"/>
  <c r="D15" i="2" l="1"/>
  <c r="D20" i="2" l="1"/>
  <c r="C8" i="6" l="1"/>
  <c r="E17" i="2" l="1"/>
  <c r="D17" i="2" s="1"/>
  <c r="C43" i="6"/>
  <c r="C40" i="6"/>
  <c r="C47" i="6" s="1"/>
  <c r="F40" i="6"/>
  <c r="F47" i="6" s="1"/>
  <c r="G40" i="6"/>
  <c r="G47" i="6" s="1"/>
  <c r="E43" i="6"/>
  <c r="F21" i="6"/>
  <c r="G21" i="6"/>
  <c r="C9" i="6"/>
  <c r="F8" i="6"/>
  <c r="D8" i="6"/>
  <c r="D43" i="6" s="1"/>
  <c r="E12" i="2" l="1"/>
  <c r="D12" i="2" s="1"/>
  <c r="D9" i="2" s="1"/>
  <c r="G43" i="6"/>
  <c r="F43" i="6"/>
  <c r="E9" i="2" l="1"/>
  <c r="E36" i="2"/>
  <c r="D36" i="2" s="1"/>
  <c r="F12" i="3"/>
  <c r="F13" i="3" l="1"/>
  <c r="E13" i="3"/>
  <c r="E12" i="3"/>
  <c r="H10" i="3"/>
  <c r="I10" i="3"/>
  <c r="K10" i="3"/>
  <c r="L10" i="3"/>
  <c r="F10" i="3" l="1"/>
  <c r="E10" i="3"/>
  <c r="D53" i="2"/>
  <c r="D32" i="2"/>
  <c r="D33" i="2"/>
  <c r="D37" i="2"/>
  <c r="D39" i="2"/>
  <c r="D41" i="2"/>
  <c r="D42" i="2"/>
  <c r="D44" i="2"/>
  <c r="D45" i="2"/>
  <c r="D46" i="2"/>
  <c r="D47" i="2"/>
  <c r="D48" i="2"/>
  <c r="D49" i="2"/>
  <c r="D50" i="2"/>
  <c r="D51" i="2"/>
  <c r="D52" i="2"/>
  <c r="D27" i="2"/>
</calcChain>
</file>

<file path=xl/sharedStrings.xml><?xml version="1.0" encoding="utf-8"?>
<sst xmlns="http://schemas.openxmlformats.org/spreadsheetml/2006/main" count="962" uniqueCount="414">
  <si>
    <t>УТВЕРЖДАЮ</t>
  </si>
  <si>
    <t>ПЛАН</t>
  </si>
  <si>
    <t>1. Сведения о деятельности учреждения (подразделения)</t>
  </si>
  <si>
    <t>2. Финансовые параметры деятельности учреждения</t>
  </si>
  <si>
    <t>(подразделения)</t>
  </si>
  <si>
    <t>2.1. Показатели финансового состояния учреждения</t>
  </si>
  <si>
    <t>(последнюю отчетную дату)</t>
  </si>
  <si>
    <t>Наименование показателя</t>
  </si>
  <si>
    <t>Сумма, рублей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</si>
  <si>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</si>
  <si>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</si>
  <si>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</si>
  <si>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</si>
  <si>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недвижимого имущества, закрепленного собственником имущества за муниципальным  учреждением на праве оперативного управления</t>
  </si>
  <si>
    <t>1.1.2. Стоимость недвижимого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</si>
  <si>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недвижимого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</si>
  <si>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1.1.4. Стоимость недвижимого имущества, переданного в аренду, безвозмездное пользование</t>
  </si>
  <si>
    <t>1.1.5.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</si>
  <si>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</si>
  <si>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</si>
  <si>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Стоимость иного движимого имущества, приобретенного муниципальным учреждением за счет доходов, полученных за счет бюджетных средств</t>
  </si>
  <si>
    <t>1.2.3. Стоимость движимого имущества, приобретенного учреждением за счет доходов, полученных от платной и иной приносящей доход деятельности</t>
  </si>
  <si>
    <t>1.2.4. Стоимость движимого имущества, приобретенного учреждением за счет средств обязательного медицинского страхования</t>
  </si>
  <si>
    <t>1.2.5. Остаточная стоимость особо ценного движимого имущества</t>
  </si>
  <si>
    <t>II. Финансовые активы, всего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</si>
  <si>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</si>
  <si>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</si>
  <si>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</si>
  <si>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</si>
  <si>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2.3. Дебиторская задолженность по доходам, полученным за счет средств местного бюджета, всего</t>
  </si>
  <si>
    <t>2.4. Дебиторская задолженность по расходам, всего</t>
  </si>
  <si>
    <t>2.4.1. Дебиторская задолженность по выданным авансам, полученным за счет средств местного бюджета</t>
  </si>
  <si>
    <t>2.4.2. Дебиторская задолженность по выданным авансам за счет доходов, полученных от платной и иной приносящей доход деятельности</t>
  </si>
  <si>
    <t>III. Обязательства, всего</t>
  </si>
  <si>
    <t>3.1. Долговые обязательства</t>
  </si>
  <si>
    <t>3.2. Кредиторская задолженность:</t>
  </si>
  <si>
    <t>3.2.1. Кредиторская задолженность по принятым обязательствам за счет средств местного бюджета, всего:</t>
  </si>
  <si>
    <t>по оплате труда</t>
  </si>
  <si>
    <t>по начислениям на выплаты по оплате труда</t>
  </si>
  <si>
    <t>по социальным и иным выплатам населению</t>
  </si>
  <si>
    <t>по расходам на закупку товаров, работ, услуг</t>
  </si>
  <si>
    <t>по уплате налогов, сборов и иных платежей</t>
  </si>
  <si>
    <t>по прочим расходам</t>
  </si>
  <si>
    <t>3.2.2. Кредиторская задолженность по принятым обязательствам за счет доходов, полученных от платной и иной приносящей доход деятельности, всего:</t>
  </si>
  <si>
    <t>3.2.4. Просроченная кредиторская задолженность, всего</t>
  </si>
  <si>
    <t>2.2. Показатели по поступлениям и выплатам учреждения</t>
  </si>
  <si>
    <t>Код строки</t>
  </si>
  <si>
    <t>Код по бюджетной классификации РФ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</si>
  <si>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</si>
  <si>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</si>
  <si>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</si>
  <si>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БК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</si>
  <si>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</si>
  <si>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</si>
  <si>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</si>
  <si>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</si>
  <si>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</si>
  <si>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</si>
  <si>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х</t>
  </si>
  <si>
    <t>Доходы от собственности</t>
  </si>
  <si>
    <t>Доходы от оказания услуг, работ</t>
  </si>
  <si>
    <t>Услуга N 1/работа</t>
  </si>
  <si>
    <t>Услуга N 2/работа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</si>
  <si>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</si>
  <si>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</si>
  <si>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</si>
  <si>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</si>
  <si>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</si>
  <si>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</si>
  <si>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</t>
  </si>
  <si>
    <t>Выплаты персоналу, всего:</t>
  </si>
  <si>
    <t>оплата труда и начисления на выплаты по оплате труда</t>
  </si>
  <si>
    <t>Социальные и иные выплаты населению, всего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</si>
  <si>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</si>
  <si>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</si>
  <si>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</si>
  <si>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</si>
  <si>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Поступления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</si>
  <si>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</si>
  <si>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</si>
  <si>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</si>
  <si>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</si>
  <si>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</si>
  <si>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</si>
  <si>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</si>
  <si>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2.2.1. Показатели выплат по расходам на закупку товаров,</t>
  </si>
  <si>
    <t>работ, услуг учреждения (подразделения)*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</si>
  <si>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</si>
  <si>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</si>
  <si>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</si>
  <si>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</si>
  <si>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</si>
  <si>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услуг, всего:</t>
  </si>
  <si>
    <t>на оплату контрактов, заключенных до начала очередного финансового года</t>
  </si>
  <si>
    <t>на закупку товаров работ, услуг по году начала закупки</t>
  </si>
  <si>
    <t>2.3. Сведения о средствах, поступающих во временное</t>
  </si>
  <si>
    <t>распоряжение учреждения (подразделения) *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</si>
  <si>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</si>
  <si>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</si>
  <si>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</si>
  <si>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</si>
  <si>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2.4.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</si>
  <si>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</si>
  <si>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</si>
  <si>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</si>
  <si>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3. Сведения и показатели об использовании ресурсов</t>
  </si>
  <si>
    <t>учреждения (подразделения)</t>
  </si>
  <si>
    <t>Единица измерения</t>
  </si>
  <si>
    <t>1. Сведения об уровне оплаты труда работников учреждения (подразделения)</t>
  </si>
  <si>
    <t>1.1. Фонд оплаты труда, всего</t>
  </si>
  <si>
    <t>тыс. руб.</t>
  </si>
  <si>
    <t>из них: выплаты стимулирующего характера</t>
  </si>
  <si>
    <t>1.1.1. Фонд оплаты труда руководителей учреждения (подразделения) и их заместителей</t>
  </si>
  <si>
    <t>1.1.2. Фонд оплаты труда прочих работников учреждения (подразделения)</t>
  </si>
  <si>
    <t>1.2. Фонд оплаты труда отдельных категорий работников бюджетной сферы, повышение оплаты труда которых предусмотрено указами Президента РФ, всего</t>
  </si>
  <si>
    <t>в том числе по категориям работников:</t>
  </si>
  <si>
    <t>1.3. Среднесписочная численность работников учреждения (подразделения)</t>
  </si>
  <si>
    <t>чел.</t>
  </si>
  <si>
    <t>1.3.1. Среднесписочная численность руководителей учреждения (подразделения) и их заместителей</t>
  </si>
  <si>
    <t>1.3.2. Среднесписочная численность прочих работников учреждения (подразделения)</t>
  </si>
  <si>
    <t>1.4. Среднесписочная численность работников учреждения (подразделения), с которыми заключены эффективные контракты</t>
  </si>
  <si>
    <t>1.4.1. Среднесписочная численность руководителей учреждения (подразделения) и их заместителей, с которыми заключены эффективные контракты</t>
  </si>
  <si>
    <t>1.4.2. Среднесписочная численность прочих работников учреждения (подразделения), с которыми заключены эффективные контракты</t>
  </si>
  <si>
    <t>1.5. Среднесписочная численность отдельных категорий работников бюджетной сферы, повышение оплаты труда которых предусмотрено указами Президента РФ, всего</t>
  </si>
  <si>
    <t>1.6. Средняя заработная плата, необходимая для реализации указов Президента РФ, предусматривающих повышение оплаты труда отдельных категорий работников бюджетной сферы</t>
  </si>
  <si>
    <t>руб.</t>
  </si>
  <si>
    <t>1.7. Средняя заработная плата, сложившаяся/прогнозируемая в отчетном периоде</t>
  </si>
  <si>
    <t>в том числе по категориям работников, повышение оплаты труда которых предусмотрено указами Президента РФ</t>
  </si>
  <si>
    <t>1.8. Отношение средней заработной платы руководителей учреждения (подразделения) и их заместителей к средней заработной плате работников учреждения (подразделения)</t>
  </si>
  <si>
    <t>%</t>
  </si>
  <si>
    <t>1.9. Отношение средней заработной платы, сложившейся/прогнозируемой в отчетном периоде, к средней заработной плате, необходимой для реализации указов Президента РФ</t>
  </si>
  <si>
    <t>2. Сведения об использовании имущества учреждения (подразделения)</t>
  </si>
  <si>
    <t>2.1. Общая площадь объектов недвижимого имущества, закрепленная за учреждением (подразделением)</t>
  </si>
  <si>
    <t>м2</t>
  </si>
  <si>
    <t>2.1.1. Площадь недвижимого имущества в безвозмездном пользовании, всего</t>
  </si>
  <si>
    <t>2.1.2. Площадь недвижимого имущества в безвозмездном пользовании, не используемая для выполнения муниципального задания</t>
  </si>
  <si>
    <t>2.1.3. Площадь недвижимого имущества, переданная в аренду</t>
  </si>
  <si>
    <t>2.2. Затраты на содержание имущества учреждения (подразделения)</t>
  </si>
  <si>
    <t>2.2.1. Затраты на содержание имущества учреждения (подразделения), не используемого для выполнения государственного задания</t>
  </si>
  <si>
    <t>2.3. Коэффициент износа основных средств (отношение величины износа основных средств на конец отчетного периода к стоимости основных средств учреждения на конец отчетного периода)</t>
  </si>
  <si>
    <t>ед.</t>
  </si>
  <si>
    <t>2.4. Коэффициент обновления основных средств (отношение стоимости основных средств, поступивших за отчетный период, к общей стоимости основных средств учреждения на конец отчетного периода)</t>
  </si>
  <si>
    <t>2.5. Коэффициенты ремонта зданий, характеризующие величину фактических расходов на капитальный ремонт зданий, приходящуюся на один рубль балансовой стоимости основных средств (в том числе за счет бюджетных средств)</t>
  </si>
  <si>
    <t>3. Показатели, характеризующие объем и качество оказываемой услуги</t>
  </si>
  <si>
    <t>3.1. Общее количество муниципальных услуг, оказываемых учреждением (подразделением)</t>
  </si>
  <si>
    <t>4. Показатели открытости и прозрачности деятельности</t>
  </si>
  <si>
    <t>4.1. Обеспечено размещение (актуализация) сведений об учреждении (подразделении) на официальном сайте в сети Интернет www.bus.gov.ru</t>
  </si>
  <si>
    <t>да - 1/нет - 0</t>
  </si>
  <si>
    <t>4.2. Обеспечено размещение в сети Интернет информации о результатах деятельности учреждения (подразделения) за отчетный год</t>
  </si>
  <si>
    <t>да - 1/нет - 1</t>
  </si>
  <si>
    <t>4. Перечень мероприятий по повышению эффективности</t>
  </si>
  <si>
    <t>деятельности учреждения (подразделения)</t>
  </si>
  <si>
    <t>Наименование мероприятия</t>
  </si>
  <si>
    <t>Сроки проведения</t>
  </si>
  <si>
    <t>Ожидаемый результат реализации</t>
  </si>
  <si>
    <t>Затраты, необходимые на проведение мероприятия, тыс. руб.</t>
  </si>
  <si>
    <t>1. Повышение эффективности управления и кадрового потенциала учреждения (подразделения)</t>
  </si>
  <si>
    <t>2. Повышение эффективности управления муниципальной  собственностью</t>
  </si>
  <si>
    <t>3. Повышение качества предоставления муниципальных услуг</t>
  </si>
  <si>
    <t>4. Направления оптимизации расходов учреждения (подразделения)</t>
  </si>
  <si>
    <t>Итого:</t>
  </si>
  <si>
    <t>(подпись)</t>
  </si>
  <si>
    <t>(расшифровка подиси)</t>
  </si>
  <si>
    <t xml:space="preserve">Исполнитель </t>
  </si>
  <si>
    <t xml:space="preserve"> г.</t>
  </si>
  <si>
    <t>"</t>
  </si>
  <si>
    <t>(расшифровка подписи)</t>
  </si>
  <si>
    <t>по ОКЕИ</t>
  </si>
  <si>
    <t>по ОКПО</t>
  </si>
  <si>
    <t>Наименование органа, осуществляющего</t>
  </si>
  <si>
    <t>Глава по БК</t>
  </si>
  <si>
    <t>функции и полномочия учредителя</t>
  </si>
  <si>
    <t>учреждение (подразделение)</t>
  </si>
  <si>
    <t>Дата</t>
  </si>
  <si>
    <t>от "</t>
  </si>
  <si>
    <t>0501016</t>
  </si>
  <si>
    <t>Форма по ОКУД</t>
  </si>
  <si>
    <t>КОДЫ</t>
  </si>
  <si>
    <t>к Порядку</t>
  </si>
  <si>
    <t>Приложение № 2</t>
  </si>
  <si>
    <t>ИНН</t>
  </si>
  <si>
    <t>КПП</t>
  </si>
  <si>
    <t>по ОКАТО</t>
  </si>
  <si>
    <t xml:space="preserve">Единица измерения: руб. </t>
  </si>
  <si>
    <t>383</t>
  </si>
  <si>
    <t>Юридический адрес учреждения (подразделения)</t>
  </si>
  <si>
    <t>Код по реестру участников бюджетного процесса, а также юридических лиц, не являющихся участниками бюджетного процесса</t>
  </si>
  <si>
    <t>1.1. Цели деятельности учреждения(подразделения):</t>
  </si>
  <si>
    <t>1.2. Виды деятельности  учреждения(подразделения):</t>
  </si>
  <si>
    <t>1.3. Перечень услуг (работ), осуществляемых в том числе на платной основе:</t>
  </si>
  <si>
    <t>Муниципальное</t>
  </si>
  <si>
    <t>0001</t>
  </si>
  <si>
    <t xml:space="preserve">(наименование должности лица, утверждающего документ)                    </t>
  </si>
  <si>
    <t>Муниципальное автономное дошкольное образовательное учреждение Ковдорского района детский сад №5 "Теремок"</t>
  </si>
  <si>
    <t>МКУ Управление образования Ковдорского района</t>
  </si>
  <si>
    <t>5104004344</t>
  </si>
  <si>
    <t>510401001</t>
  </si>
  <si>
    <t>005</t>
  </si>
  <si>
    <t>22613513</t>
  </si>
  <si>
    <t>184142, Мурманская область, г. Ковдор, ул. Коновалова, д. 26.</t>
  </si>
  <si>
    <t xml:space="preserve">47203501000 </t>
  </si>
  <si>
    <t xml:space="preserve">184142 Мурманская область, г.Ковдор, улица Коновалова, дом 26; 184142, Мурманская область, г. Ковдор, ул. Комсомольская 17а; 184142, Мурманская область, г. Ковдор, ул. Ленина, д. 17, корп. 5   </t>
  </si>
  <si>
    <t>создание условий для реализации гарантированного гражданам Российской Федерации права на получение общедоступного и  бесплатного дошкольного образования.</t>
  </si>
  <si>
    <t xml:space="preserve">предоставление общедоступного и бесплатного дошкольного образования в общеразвивающих группах муниципальных образовательных учреждениях; предоставление общедоступного и бесплатного дошкольного образования детям-инвалидам в соответствии с индивидуальной программой реабилитации инвалида на дому.             </t>
  </si>
  <si>
    <t>Прочие выплаты</t>
  </si>
  <si>
    <t xml:space="preserve"> уплата иных платежей</t>
  </si>
  <si>
    <t>-</t>
  </si>
  <si>
    <t>Заведующая</t>
  </si>
  <si>
    <t>воспитатели</t>
  </si>
  <si>
    <t>(наименование органа, осуществляющего функции и полномочия учредителя)</t>
  </si>
  <si>
    <t>Муниципальное автономное дошкольное образовательное учреждение Ковдорского района детский сад  №5 "Теремок"</t>
  </si>
  <si>
    <t>3.1.1. Реализация основных общеобразовательных программ дошкольного образования</t>
  </si>
  <si>
    <t xml:space="preserve"> тел. 8(815-35)7-10-31</t>
  </si>
  <si>
    <t>Услуга N 2 ( предпринимательская деятельность)</t>
  </si>
  <si>
    <t>Услуга N 1 (родительская плата)</t>
  </si>
  <si>
    <t>педагоги</t>
  </si>
  <si>
    <t>врачи и  провизоры</t>
  </si>
  <si>
    <t>мед. персонал</t>
  </si>
  <si>
    <t>Адрес фактического местанахождения учреждения</t>
  </si>
  <si>
    <t>в т.ч. воспитатели</t>
  </si>
  <si>
    <t>На выполнение муниципального задания</t>
  </si>
  <si>
    <t>уплата прочих налогов,сборов</t>
  </si>
  <si>
    <t>Услуга N 2 ( благотворительность)</t>
  </si>
  <si>
    <t xml:space="preserve">Исполнение судебных актов РФ </t>
  </si>
  <si>
    <t xml:space="preserve">Врио руководитель финансово-экономической
службы учреждения (подразделения)                                    </t>
  </si>
  <si>
    <t>Расчёты (обоснования) к плану финансово-хозяйственной деятельности государственного (муниципального) учреждения</t>
  </si>
  <si>
    <t>1. Расчёты (обоснования) выплат персоналу (строка 210)</t>
  </si>
  <si>
    <t>1.1. Расчёты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</si>
  <si>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</si>
  <si>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</si>
  <si>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</si>
  <si>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</si>
  <si>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должностому окладу,%</t>
  </si>
  <si>
    <t>Процентная  надбавка за  стаж  работы  в  районах Крайнего Севера</t>
  </si>
  <si>
    <t>Фонд оплаты труда в год, руб. (гр.3хгр.4х(1+гр.8/100)хгр.9х12)</t>
  </si>
  <si>
    <t>Материальная помощь</t>
  </si>
  <si>
    <t>Итого</t>
  </si>
  <si>
    <t xml:space="preserve">по должностому окладу </t>
  </si>
  <si>
    <t>по выплатам компенсационного характера</t>
  </si>
  <si>
    <t>по выплатам стимулирующего характера</t>
  </si>
  <si>
    <t>Заместитель заведующей по ОВиАР</t>
  </si>
  <si>
    <t>Заместитель заведующей по АХР</t>
  </si>
  <si>
    <t>Старший воспитатель</t>
  </si>
  <si>
    <t>Воспитатель</t>
  </si>
  <si>
    <t>Учитель-логопед</t>
  </si>
  <si>
    <t>Учитель-дефектолог</t>
  </si>
  <si>
    <t>Педагог-психолог</t>
  </si>
  <si>
    <t>Музыкальный руководитель</t>
  </si>
  <si>
    <t>Социальный педагог</t>
  </si>
  <si>
    <t>Инструктор по физической культуре</t>
  </si>
  <si>
    <t>Педагог дополнительного образования</t>
  </si>
  <si>
    <t>Младший воспитатель</t>
  </si>
  <si>
    <t>Старшая медсестра</t>
  </si>
  <si>
    <t>Медсестра</t>
  </si>
  <si>
    <t>Делопроизводитель</t>
  </si>
  <si>
    <t>Начальник хозяйственного отдела</t>
  </si>
  <si>
    <t>Шеф-повар</t>
  </si>
  <si>
    <t>Повар</t>
  </si>
  <si>
    <t>Кухонный рабочий</t>
  </si>
  <si>
    <t>Машинист по стирке белья</t>
  </si>
  <si>
    <t>Рабочий по комплексному обслуживанию и ремонту здания</t>
  </si>
  <si>
    <t>Дворник</t>
  </si>
  <si>
    <t>Кастелянша</t>
  </si>
  <si>
    <t>Сторож</t>
  </si>
  <si>
    <t>Уборщик служебных помещений</t>
  </si>
  <si>
    <t>Кладовщик</t>
  </si>
  <si>
    <t>Техник</t>
  </si>
  <si>
    <t>Заведующая медицинским блоком</t>
  </si>
  <si>
    <t>Количество работников, чел.</t>
  </si>
  <si>
    <t>Количество выплат в год на одного работника</t>
  </si>
  <si>
    <t>1.4. Расчёты (обоснования) страховых взносов на обязательное страхование в Пенсионный фонд РФ, в Фонд социального страхования РФ, в Федеральный фонд обязательного медицинского страхования</t>
  </si>
  <si>
    <t>N п/п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</si>
  <si>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</si>
  <si>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</si>
  <si>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</si>
  <si>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</si>
  <si>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x</t>
  </si>
  <si>
    <t>1.1.</t>
  </si>
  <si>
    <t>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</si>
  <si>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</si>
  <si>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</si>
  <si>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</si>
  <si>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</si>
  <si>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</si>
  <si>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</si>
  <si>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</si>
  <si>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</si>
  <si>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</si>
  <si>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</si>
  <si>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</si>
  <si>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</si>
  <si>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</si>
  <si>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</si>
  <si>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(по ставке 5,1%)</t>
  </si>
  <si>
    <t>3. Расчёт (обоснование) расходов на уплату налогов, сборов и иных платежей (230)</t>
  </si>
  <si>
    <t>Наименование расходов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</si>
  <si>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</si>
  <si>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</si>
  <si>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</si>
  <si>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>6. Расчёт (обоснование) расходов на закупку товаров, работ, услуг (строка 260)</t>
  </si>
  <si>
    <r>
      <t xml:space="preserve">Код видов расходов  </t>
    </r>
    <r>
      <rPr>
        <u/>
        <sz val="11"/>
        <color theme="1"/>
        <rFont val="Times New Roman"/>
        <family val="1"/>
        <charset val="204"/>
      </rPr>
      <t>244</t>
    </r>
  </si>
  <si>
    <r>
      <t xml:space="preserve">Источник финансового обеспечения  </t>
    </r>
    <r>
      <rPr>
        <u/>
        <sz val="11"/>
        <color theme="1"/>
        <rFont val="Times New Roman"/>
        <family val="1"/>
        <charset val="204"/>
      </rPr>
      <t>субсидия на финансовое обеспечение выполнения государственного задания</t>
    </r>
  </si>
  <si>
    <t xml:space="preserve">6.1. Расчёт (обоснование) расходов на оплату услуг связи </t>
  </si>
  <si>
    <t>Количество номеров</t>
  </si>
  <si>
    <t>Количество платежей в год</t>
  </si>
  <si>
    <t>Стоимость за единицу, руб.</t>
  </si>
  <si>
    <t>Сумма, руб. (гр.3 х гр.4 х гр.5)</t>
  </si>
  <si>
    <t xml:space="preserve">Внутризоновые соединения </t>
  </si>
  <si>
    <t>Местные соединения</t>
  </si>
  <si>
    <t>Предоставление абоненткой линии</t>
  </si>
  <si>
    <t>Услуги междугородной и международной телефонной связи</t>
  </si>
  <si>
    <t>Выделенный доступ (Трафик Интернет)</t>
  </si>
  <si>
    <t>Услуги ADSL</t>
  </si>
  <si>
    <t>6.3. Расчёт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</si>
  <si>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</si>
  <si>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</si>
  <si>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 %</t>
  </si>
  <si>
    <t>Теплоэнергия</t>
  </si>
  <si>
    <t>Электроэнергия</t>
  </si>
  <si>
    <t>Горячая вода</t>
  </si>
  <si>
    <t>Питьевая вода</t>
  </si>
  <si>
    <t>Сточная вода</t>
  </si>
  <si>
    <t>6.5. Расчёт (обоснование) расходов на оплату работ, услуг по содержанию имущества</t>
  </si>
  <si>
    <t xml:space="preserve">Объект </t>
  </si>
  <si>
    <t>Количество работ (услуг)</t>
  </si>
  <si>
    <t>Стоимость работ (услуг), руб.</t>
  </si>
  <si>
    <t>Вывоз и передача для размещения ТКО</t>
  </si>
  <si>
    <t>здание</t>
  </si>
  <si>
    <t>Уборка снега</t>
  </si>
  <si>
    <t>Дезинфекция, дезинсекция вещей</t>
  </si>
  <si>
    <t>Зарядка огнетушителей</t>
  </si>
  <si>
    <t>Техническое обслуживание пожарной сигнализации</t>
  </si>
  <si>
    <t>Централизованное обслуживание средств пожарной сигнализации и речевого оповещения</t>
  </si>
  <si>
    <t>Оказание охранных услуг</t>
  </si>
  <si>
    <t>Заправка картриджей</t>
  </si>
  <si>
    <t>Ремонт оборудования</t>
  </si>
  <si>
    <t>Промывка и опрессовка</t>
  </si>
  <si>
    <t>6.6. Расчёт (обоснование) расходов на оплату прочих работ, услуг</t>
  </si>
  <si>
    <t>Количество договоров</t>
  </si>
  <si>
    <t>Стоимость услуги, руб.</t>
  </si>
  <si>
    <t>Сертификационный экзамен работников</t>
  </si>
  <si>
    <t>Оказание платных образовательных услуг (с юридическим лицом)</t>
  </si>
  <si>
    <t>Негосударственная экспертиза сметной документации</t>
  </si>
  <si>
    <t>Лицензия-базовая (неисключительные права) для Бюджет в системе СБИС</t>
  </si>
  <si>
    <t xml:space="preserve">Медицинский осмотр работников </t>
  </si>
  <si>
    <t>Вызов наряда охраны с помощью кнопки тревожной сигнализации</t>
  </si>
  <si>
    <t>Проживание</t>
  </si>
  <si>
    <t>Монтаж охранной сигнализации</t>
  </si>
  <si>
    <t>6.7. Расчёт (обоснование) расходов на приобретение основных средств, материальных запасов</t>
  </si>
  <si>
    <t xml:space="preserve">Количество </t>
  </si>
  <si>
    <t>Приобретение электротоваров</t>
  </si>
  <si>
    <t>Приобретение моющих средств</t>
  </si>
  <si>
    <t>Приобретение посуды</t>
  </si>
  <si>
    <t xml:space="preserve">Приобретение игрушек </t>
  </si>
  <si>
    <t>Приобретение медикаментов</t>
  </si>
  <si>
    <t>Приобретение мебели</t>
  </si>
  <si>
    <t>Приобретение канцелярских товаров</t>
  </si>
  <si>
    <t>Приобретение учебно-наглядных пособий</t>
  </si>
  <si>
    <t xml:space="preserve">Приобретение компьютеров </t>
  </si>
  <si>
    <t>Расчёты (обоснования) к плану финансово-хозяйственной деятельности государственного (муниципального) учреждения (иные субсидии, предоставленные из бюджета)</t>
  </si>
  <si>
    <t>1.4. Расчёты (обоснования) выплат компенсационного характера персоналу учреждений, не включаемых в фонд оплаты труда (212)</t>
  </si>
  <si>
    <r>
      <t xml:space="preserve">Код видов расходов </t>
    </r>
    <r>
      <rPr>
        <u/>
        <sz val="11"/>
        <color theme="1"/>
        <rFont val="Times New Roman"/>
        <family val="1"/>
        <charset val="204"/>
      </rPr>
      <t xml:space="preserve"> 112</t>
    </r>
  </si>
  <si>
    <r>
      <t xml:space="preserve">Источник финансового обеспечения: </t>
    </r>
    <r>
      <rPr>
        <u/>
        <sz val="11"/>
        <color theme="1"/>
        <rFont val="Times New Roman"/>
        <family val="1"/>
        <charset val="204"/>
      </rPr>
      <t xml:space="preserve">  субсидия автономным учреждениям на иные цели</t>
    </r>
  </si>
  <si>
    <t>Средний размер выплаты на одного работника, руб.</t>
  </si>
  <si>
    <t>Сумма, руб. (гр. 3 х гр. 4 х гр. 5)</t>
  </si>
  <si>
    <r>
      <t xml:space="preserve">Код видов расходов  </t>
    </r>
    <r>
      <rPr>
        <u/>
        <sz val="11"/>
        <color theme="1"/>
        <rFont val="Times New Roman"/>
        <family val="1"/>
        <charset val="204"/>
      </rPr>
      <t>850</t>
    </r>
  </si>
  <si>
    <r>
      <rPr>
        <sz val="11"/>
        <color theme="1"/>
        <rFont val="Times New Roman"/>
        <family val="1"/>
        <charset val="204"/>
      </rPr>
      <t>Источник финансового обеспечения:</t>
    </r>
    <r>
      <rPr>
        <u/>
        <sz val="11"/>
        <color theme="1"/>
        <rFont val="Times New Roman"/>
        <family val="1"/>
        <charset val="204"/>
      </rPr>
      <t xml:space="preserve"> субсидия автономным учреждениям на иные цели</t>
    </r>
  </si>
  <si>
    <t>Кредиторская задолженность по пеням и штрафам во внебюджетные фонды</t>
  </si>
  <si>
    <t>6. Расчёт (обоснование) расходов на закупку товаров, работ, услуг  (260)</t>
  </si>
  <si>
    <t>Код видов расходов  244</t>
  </si>
  <si>
    <r>
      <t xml:space="preserve">Источник финансового обеспечения: </t>
    </r>
    <r>
      <rPr>
        <u/>
        <sz val="11"/>
        <color theme="1"/>
        <rFont val="Times New Roman"/>
        <family val="1"/>
        <charset val="204"/>
      </rPr>
      <t>субсидия автономным учреждениям на иные цели</t>
    </r>
  </si>
  <si>
    <t>Расходы на обеспечение деятельности</t>
  </si>
  <si>
    <r>
      <t xml:space="preserve">Источник финансового обеспечения: </t>
    </r>
    <r>
      <rPr>
        <u/>
        <sz val="11"/>
        <color theme="1"/>
        <rFont val="Times New Roman"/>
        <family val="1"/>
        <charset val="204"/>
      </rPr>
      <t>субсидия на финансовое обеспечение выполнения государственного задания</t>
    </r>
  </si>
  <si>
    <r>
      <t xml:space="preserve">Код видов расходов </t>
    </r>
    <r>
      <rPr>
        <u/>
        <sz val="11"/>
        <color theme="1"/>
        <rFont val="Times New Roman"/>
        <family val="1"/>
        <charset val="204"/>
      </rPr>
      <t>100</t>
    </r>
  </si>
  <si>
    <t xml:space="preserve">Расходы на погашение кредиторской задолженности в соответствии с соглашениями реструктуризации  (за исключением задолженности по пеням и штрафам во внебюджетные фонды) </t>
  </si>
  <si>
    <t>Исполнитель</t>
  </si>
  <si>
    <t>____________________________</t>
  </si>
  <si>
    <t>Сумма, руб. (гр. 3 х гр. 4)</t>
  </si>
  <si>
    <t>18</t>
  </si>
  <si>
    <t>1.2. Расчёты (обоснования) выплат персоналу при направлении в служебные командировки</t>
  </si>
  <si>
    <t xml:space="preserve">№ п/п </t>
  </si>
  <si>
    <t xml:space="preserve">Наименование расходов </t>
  </si>
  <si>
    <t>Средний размер выплаты на одного работника в день, руб.</t>
  </si>
  <si>
    <t xml:space="preserve">Количество дней </t>
  </si>
  <si>
    <t>Сумма, руб. (гр.3хгр.4хгр.5)</t>
  </si>
  <si>
    <t>Командировочные расходы (курсы повышения квалификации)</t>
  </si>
  <si>
    <t>Суточные</t>
  </si>
  <si>
    <t>Проезд</t>
  </si>
  <si>
    <t>Пособия до 3-х лет</t>
  </si>
  <si>
    <t>уплата налога на имущество</t>
  </si>
  <si>
    <t>Налог на имущество</t>
  </si>
  <si>
    <t>за 2016 г. отчетный финансовый год</t>
  </si>
  <si>
    <t>за 2017 г. текущий финансовый год</t>
  </si>
  <si>
    <t>на 2018 г. очередной финансовый год</t>
  </si>
  <si>
    <t>на 2019 г. 1-й год планового периода</t>
  </si>
  <si>
    <t>на 2020 г.   2-й год планового периода</t>
  </si>
  <si>
    <t>средний медицинский персонал</t>
  </si>
  <si>
    <t>ФИНАНСОВО-ХОЗЯЙСТВЕННОЙ ДЕЯТЕЛЬНОСТИ НА 2018 ГОД И ПЛАНОВЫЙ ПЕРИОД 2019 И 2020 ГОДОВ</t>
  </si>
  <si>
    <t>на 2020 г. 2-й год планового периода</t>
  </si>
  <si>
    <t>на 2020 г.    2-й год планового периода</t>
  </si>
  <si>
    <t>Компенсация расходов на оплату стоимости проезда и провоза багажа к месту использования отпуска и обратно</t>
  </si>
  <si>
    <t>Шишацкая О.В.</t>
  </si>
  <si>
    <t xml:space="preserve"> Заведующая</t>
  </si>
  <si>
    <t>А.Л. Чепенко</t>
  </si>
  <si>
    <t>Кружок танцевальный "Топ-топ",кружок "Дельфиненок" обучение плаванию, кружок "Нано-конструктор", кружок "АБВГДейка" подготовка к чтению, кружок "Букваренок" подготовка к чтению.</t>
  </si>
  <si>
    <t>О.В. Зименкова</t>
  </si>
  <si>
    <t>декабря</t>
  </si>
  <si>
    <t>на "12" декабря 2018 г.</t>
  </si>
  <si>
    <t>на "12"декабря 2018 г.</t>
  </si>
  <si>
    <t>на "12"декабря  2018 г.</t>
  </si>
  <si>
    <t>(подразделения)* на "12" декабря 2018 г.</t>
  </si>
  <si>
    <t>(подразделения) на "12" декабря 2018 г.</t>
  </si>
  <si>
    <t>12</t>
  </si>
  <si>
    <t>12.12.2018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</si>
</sst>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sz val="6.5"/>
      <name val="Arial"/>
      <family val="2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0"/>
      <color theme="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b/>
      <sz val="28"/>
      <color rgb="FFFF0000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36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2" applyNumberFormat="1" applyFont="1" applyBorder="1" applyAlignment="1">
      <alignment horizontal="left"/>
    </xf>
    <xf numFmtId="0" fontId="8" fillId="0" borderId="0" xfId="2" applyNumberFormat="1" applyFont="1" applyBorder="1" applyAlignment="1">
      <alignment horizontal="left"/>
    </xf>
    <xf numFmtId="0" fontId="9" fillId="0" borderId="0" xfId="2" applyNumberFormat="1" applyFont="1" applyBorder="1" applyAlignment="1">
      <alignment horizontal="left"/>
    </xf>
    <xf numFmtId="0" fontId="10" fillId="0" borderId="0" xfId="2" applyNumberFormat="1" applyFont="1" applyBorder="1" applyAlignment="1">
      <alignment horizontal="left"/>
    </xf>
    <xf numFmtId="0" fontId="12" fillId="0" borderId="0" xfId="0" applyFont="1"/>
    <xf numFmtId="0" fontId="13" fillId="0" borderId="0" xfId="2" applyNumberFormat="1" applyFont="1" applyBorder="1" applyAlignment="1">
      <alignment horizontal="left"/>
    </xf>
    <xf numFmtId="0" fontId="13" fillId="0" borderId="0" xfId="2" applyNumberFormat="1" applyFont="1" applyBorder="1" applyAlignment="1">
      <alignment horizontal="center"/>
    </xf>
    <xf numFmtId="0" fontId="13" fillId="0" borderId="0" xfId="2" applyNumberFormat="1" applyFont="1" applyBorder="1" applyAlignment="1">
      <alignment horizontal="center" vertical="top"/>
    </xf>
    <xf numFmtId="0" fontId="13" fillId="0" borderId="0" xfId="2" applyNumberFormat="1" applyFont="1" applyBorder="1" applyAlignment="1">
      <alignment horizontal="right"/>
    </xf>
    <xf numFmtId="49" fontId="13" fillId="0" borderId="0" xfId="2" applyNumberFormat="1" applyFont="1" applyFill="1" applyBorder="1" applyAlignment="1">
      <alignment horizontal="center"/>
    </xf>
    <xf numFmtId="49" fontId="13" fillId="0" borderId="0" xfId="2" applyNumberFormat="1" applyFont="1" applyFill="1" applyBorder="1" applyAlignment="1">
      <alignment horizontal="left"/>
    </xf>
    <xf numFmtId="0" fontId="14" fillId="0" borderId="0" xfId="2" applyNumberFormat="1" applyFont="1" applyFill="1" applyBorder="1" applyAlignment="1">
      <alignment horizontal="left"/>
    </xf>
    <xf numFmtId="0" fontId="14" fillId="0" borderId="0" xfId="2" applyNumberFormat="1" applyFont="1" applyBorder="1" applyAlignment="1">
      <alignment horizontal="left"/>
    </xf>
    <xf numFmtId="0" fontId="14" fillId="0" borderId="0" xfId="2" applyNumberFormat="1" applyFont="1" applyBorder="1" applyAlignment="1">
      <alignment horizontal="left" vertical="center"/>
    </xf>
    <xf numFmtId="0" fontId="13" fillId="0" borderId="0" xfId="2" applyNumberFormat="1" applyFont="1" applyBorder="1" applyAlignment="1">
      <alignment horizontal="left" vertical="center"/>
    </xf>
    <xf numFmtId="0" fontId="13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Border="1" applyAlignment="1">
      <alignment horizontal="left" wrapText="1"/>
    </xf>
    <xf numFmtId="49" fontId="14" fillId="0" borderId="0" xfId="2" applyNumberFormat="1" applyFont="1" applyFill="1" applyBorder="1" applyAlignment="1">
      <alignment vertical="center"/>
    </xf>
    <xf numFmtId="0" fontId="13" fillId="0" borderId="0" xfId="2" applyNumberFormat="1" applyFont="1" applyFill="1" applyBorder="1" applyAlignment="1">
      <alignment wrapText="1"/>
    </xf>
    <xf numFmtId="0" fontId="13" fillId="0" borderId="0" xfId="2" applyNumberFormat="1" applyFont="1" applyBorder="1" applyAlignment="1">
      <alignment horizontal="center" vertical="center"/>
    </xf>
    <xf numFmtId="0" fontId="13" fillId="0" borderId="0" xfId="2" applyNumberFormat="1" applyFont="1" applyBorder="1" applyAlignment="1"/>
    <xf numFmtId="0" fontId="15" fillId="0" borderId="0" xfId="0" applyFont="1"/>
    <xf numFmtId="0" fontId="12" fillId="0" borderId="0" xfId="0" applyFont="1" applyAlignment="1">
      <alignment horizontal="justify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 indent="3"/>
    </xf>
    <xf numFmtId="0" fontId="17" fillId="0" borderId="9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 wrapText="1" indent="1"/>
    </xf>
    <xf numFmtId="0" fontId="15" fillId="0" borderId="25" xfId="0" applyFont="1" applyBorder="1" applyAlignment="1">
      <alignment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 wrapText="1" indent="3"/>
    </xf>
    <xf numFmtId="0" fontId="15" fillId="0" borderId="26" xfId="0" applyFont="1" applyBorder="1" applyAlignment="1">
      <alignment horizontal="left" vertical="center" wrapText="1" indent="3"/>
    </xf>
    <xf numFmtId="0" fontId="15" fillId="0" borderId="2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 wrapText="1" indent="1"/>
    </xf>
    <xf numFmtId="0" fontId="12" fillId="0" borderId="31" xfId="0" applyFont="1" applyBorder="1" applyAlignment="1">
      <alignment horizontal="justify" vertical="center"/>
    </xf>
    <xf numFmtId="0" fontId="12" fillId="0" borderId="31" xfId="0" applyFont="1" applyBorder="1"/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4" xfId="0" applyFont="1" applyBorder="1" applyAlignment="1">
      <alignment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25" xfId="0" applyFont="1" applyBorder="1" applyAlignment="1">
      <alignment horizontal="left" vertical="center" wrapText="1" indent="1"/>
    </xf>
    <xf numFmtId="0" fontId="12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0" xfId="2" applyNumberFormat="1" applyFont="1" applyBorder="1" applyAlignment="1">
      <alignment horizontal="left"/>
    </xf>
    <xf numFmtId="0" fontId="13" fillId="0" borderId="0" xfId="2" applyNumberFormat="1" applyFont="1" applyBorder="1" applyAlignment="1">
      <alignment horizontal="center"/>
    </xf>
    <xf numFmtId="49" fontId="17" fillId="0" borderId="9" xfId="0" applyNumberFormat="1" applyFont="1" applyBorder="1" applyAlignment="1">
      <alignment horizontal="center" vertical="center" wrapText="1"/>
    </xf>
    <xf numFmtId="4" fontId="17" fillId="0" borderId="9" xfId="0" applyNumberFormat="1" applyFont="1" applyBorder="1" applyAlignment="1">
      <alignment horizontal="center" vertical="center" wrapText="1"/>
    </xf>
    <xf numFmtId="4" fontId="17" fillId="0" borderId="9" xfId="0" applyNumberFormat="1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3" fillId="0" borderId="0" xfId="2" applyNumberFormat="1" applyFont="1" applyBorder="1" applyAlignment="1">
      <alignment wrapText="1"/>
    </xf>
    <xf numFmtId="0" fontId="13" fillId="0" borderId="0" xfId="2" applyNumberFormat="1" applyFont="1" applyBorder="1" applyAlignment="1">
      <alignment horizontal="center" wrapText="1"/>
    </xf>
    <xf numFmtId="0" fontId="15" fillId="0" borderId="0" xfId="0" applyFont="1" applyAlignment="1">
      <alignment vertical="center"/>
    </xf>
    <xf numFmtId="4" fontId="15" fillId="0" borderId="9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4" fontId="15" fillId="0" borderId="15" xfId="0" applyNumberFormat="1" applyFont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 wrapText="1" indent="1"/>
    </xf>
    <xf numFmtId="0" fontId="15" fillId="0" borderId="25" xfId="0" applyFont="1" applyFill="1" applyBorder="1" applyAlignment="1">
      <alignment vertical="center" wrapText="1"/>
    </xf>
    <xf numFmtId="4" fontId="15" fillId="0" borderId="9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5" fillId="0" borderId="25" xfId="0" applyFont="1" applyFill="1" applyBorder="1" applyAlignment="1">
      <alignment horizontal="center" vertical="center" wrapText="1"/>
    </xf>
    <xf numFmtId="4" fontId="12" fillId="0" borderId="20" xfId="0" applyNumberFormat="1" applyFont="1" applyBorder="1" applyAlignment="1">
      <alignment vertical="center" wrapText="1"/>
    </xf>
    <xf numFmtId="4" fontId="12" fillId="0" borderId="9" xfId="0" applyNumberFormat="1" applyFont="1" applyBorder="1" applyAlignment="1">
      <alignment vertical="center" wrapText="1"/>
    </xf>
    <xf numFmtId="4" fontId="12" fillId="0" borderId="20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2" applyNumberFormat="1" applyFont="1" applyBorder="1" applyAlignment="1">
      <alignment horizontal="center" vertical="top"/>
    </xf>
    <xf numFmtId="0" fontId="13" fillId="0" borderId="0" xfId="2" applyNumberFormat="1" applyFont="1" applyBorder="1" applyAlignment="1">
      <alignment horizontal="left"/>
    </xf>
    <xf numFmtId="4" fontId="12" fillId="2" borderId="9" xfId="0" applyNumberFormat="1" applyFont="1" applyFill="1" applyBorder="1" applyAlignment="1">
      <alignment horizontal="center" vertical="center" wrapText="1"/>
    </xf>
    <xf numFmtId="4" fontId="12" fillId="2" borderId="2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 vertical="center"/>
    </xf>
    <xf numFmtId="0" fontId="12" fillId="0" borderId="31" xfId="0" applyFont="1" applyBorder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4" fontId="0" fillId="0" borderId="0" xfId="0" applyNumberFormat="1"/>
    <xf numFmtId="0" fontId="15" fillId="2" borderId="25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4" fontId="15" fillId="2" borderId="9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5" fillId="2" borderId="27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4" fontId="15" fillId="2" borderId="10" xfId="0" applyNumberFormat="1" applyFont="1" applyFill="1" applyBorder="1" applyAlignment="1">
      <alignment horizontal="center" vertical="center" wrapText="1"/>
    </xf>
    <xf numFmtId="4" fontId="15" fillId="2" borderId="18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vertical="center" wrapText="1"/>
    </xf>
    <xf numFmtId="2" fontId="12" fillId="0" borderId="20" xfId="0" applyNumberFormat="1" applyFont="1" applyBorder="1" applyAlignment="1">
      <alignment vertical="center" wrapText="1"/>
    </xf>
    <xf numFmtId="164" fontId="12" fillId="0" borderId="20" xfId="0" applyNumberFormat="1" applyFont="1" applyBorder="1" applyAlignment="1">
      <alignment vertical="center" wrapText="1"/>
    </xf>
    <xf numFmtId="2" fontId="12" fillId="0" borderId="9" xfId="0" applyNumberFormat="1" applyFont="1" applyBorder="1" applyAlignment="1">
      <alignment vertical="center" wrapText="1"/>
    </xf>
    <xf numFmtId="0" fontId="13" fillId="0" borderId="0" xfId="2" applyNumberFormat="1" applyFont="1" applyBorder="1" applyAlignment="1">
      <alignment horizontal="left"/>
    </xf>
    <xf numFmtId="4" fontId="22" fillId="0" borderId="20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center" wrapText="1" indent="1"/>
    </xf>
    <xf numFmtId="0" fontId="22" fillId="0" borderId="25" xfId="0" applyFont="1" applyBorder="1" applyAlignment="1">
      <alignment vertical="center" wrapText="1"/>
    </xf>
    <xf numFmtId="0" fontId="22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9" xfId="0" applyFont="1" applyBorder="1"/>
    <xf numFmtId="4" fontId="12" fillId="0" borderId="9" xfId="0" applyNumberFormat="1" applyFont="1" applyBorder="1"/>
    <xf numFmtId="2" fontId="12" fillId="0" borderId="9" xfId="0" applyNumberFormat="1" applyFont="1" applyBorder="1"/>
    <xf numFmtId="0" fontId="12" fillId="2" borderId="9" xfId="0" applyFont="1" applyFill="1" applyBorder="1"/>
    <xf numFmtId="4" fontId="12" fillId="2" borderId="9" xfId="0" applyNumberFormat="1" applyFont="1" applyFill="1" applyBorder="1"/>
    <xf numFmtId="4" fontId="0" fillId="2" borderId="0" xfId="0" applyNumberFormat="1" applyFill="1"/>
    <xf numFmtId="0" fontId="12" fillId="0" borderId="9" xfId="0" applyFont="1" applyBorder="1" applyAlignment="1">
      <alignment wrapText="1"/>
    </xf>
    <xf numFmtId="0" fontId="22" fillId="0" borderId="9" xfId="0" applyFont="1" applyBorder="1" applyAlignment="1">
      <alignment horizontal="right"/>
    </xf>
    <xf numFmtId="2" fontId="22" fillId="0" borderId="9" xfId="0" applyNumberFormat="1" applyFont="1" applyBorder="1"/>
    <xf numFmtId="4" fontId="22" fillId="0" borderId="9" xfId="0" applyNumberFormat="1" applyFont="1" applyBorder="1"/>
    <xf numFmtId="4" fontId="22" fillId="0" borderId="9" xfId="0" applyNumberFormat="1" applyFont="1" applyBorder="1" applyAlignment="1">
      <alignment horizontal="right"/>
    </xf>
    <xf numFmtId="4" fontId="22" fillId="2" borderId="9" xfId="0" applyNumberFormat="1" applyFont="1" applyFill="1" applyBorder="1"/>
    <xf numFmtId="0" fontId="12" fillId="0" borderId="0" xfId="0" applyFont="1" applyBorder="1"/>
    <xf numFmtId="4" fontId="12" fillId="2" borderId="0" xfId="0" applyNumberFormat="1" applyFont="1" applyFill="1"/>
    <xf numFmtId="0" fontId="15" fillId="0" borderId="9" xfId="0" applyFont="1" applyBorder="1" applyAlignment="1">
      <alignment vertical="center" wrapText="1"/>
    </xf>
    <xf numFmtId="0" fontId="15" fillId="0" borderId="9" xfId="0" applyFont="1" applyBorder="1" applyAlignment="1">
      <alignment horizontal="justify" vertical="center" wrapText="1"/>
    </xf>
    <xf numFmtId="0" fontId="15" fillId="0" borderId="9" xfId="0" applyFont="1" applyBorder="1" applyAlignment="1">
      <alignment horizontal="left" vertical="center" wrapText="1" indent="4"/>
    </xf>
    <xf numFmtId="0" fontId="3" fillId="0" borderId="9" xfId="1" applyBorder="1" applyAlignment="1">
      <alignment vertical="center" wrapText="1"/>
    </xf>
    <xf numFmtId="0" fontId="15" fillId="0" borderId="9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4" fontId="12" fillId="0" borderId="9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 vertical="center"/>
    </xf>
    <xf numFmtId="4" fontId="12" fillId="0" borderId="0" xfId="0" applyNumberFormat="1" applyFont="1"/>
    <xf numFmtId="0" fontId="0" fillId="0" borderId="0" xfId="0" applyAlignment="1"/>
    <xf numFmtId="0" fontId="0" fillId="0" borderId="0" xfId="0" applyBorder="1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wrapText="1"/>
    </xf>
    <xf numFmtId="4" fontId="23" fillId="0" borderId="0" xfId="0" applyNumberFormat="1" applyFont="1"/>
    <xf numFmtId="4" fontId="0" fillId="0" borderId="0" xfId="0" applyNumberFormat="1" applyAlignment="1"/>
    <xf numFmtId="0" fontId="15" fillId="0" borderId="9" xfId="0" applyNumberFormat="1" applyFont="1" applyBorder="1" applyAlignment="1">
      <alignment horizontal="center" vertical="center" wrapText="1"/>
    </xf>
    <xf numFmtId="4" fontId="0" fillId="0" borderId="0" xfId="0" applyNumberFormat="1" applyBorder="1"/>
    <xf numFmtId="0" fontId="15" fillId="0" borderId="36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4" fontId="0" fillId="2" borderId="0" xfId="0" applyNumberFormat="1" applyFill="1" applyBorder="1" applyAlignment="1"/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4" fontId="15" fillId="0" borderId="9" xfId="0" applyNumberFormat="1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4" fontId="15" fillId="0" borderId="9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vertical="center" wrapText="1"/>
    </xf>
    <xf numFmtId="0" fontId="12" fillId="0" borderId="0" xfId="0" applyFont="1" applyAlignment="1"/>
    <xf numFmtId="0" fontId="27" fillId="0" borderId="0" xfId="0" applyFont="1" applyFill="1" applyBorder="1" applyAlignment="1">
      <alignment horizontal="center" vertical="center" wrapText="1"/>
    </xf>
    <xf numFmtId="4" fontId="22" fillId="2" borderId="36" xfId="0" applyNumberFormat="1" applyFont="1" applyFill="1" applyBorder="1"/>
    <xf numFmtId="4" fontId="15" fillId="2" borderId="9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4" fontId="15" fillId="0" borderId="9" xfId="0" applyNumberFormat="1" applyFont="1" applyBorder="1" applyAlignment="1">
      <alignment horizontal="center" vertical="center" wrapText="1"/>
    </xf>
    <xf numFmtId="4" fontId="15" fillId="0" borderId="9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9" xfId="0" applyBorder="1"/>
    <xf numFmtId="0" fontId="15" fillId="0" borderId="32" xfId="0" applyFont="1" applyBorder="1" applyAlignment="1">
      <alignment vertical="center" wrapText="1"/>
    </xf>
    <xf numFmtId="0" fontId="12" fillId="2" borderId="9" xfId="0" applyFont="1" applyFill="1" applyBorder="1" applyAlignment="1">
      <alignment horizontal="left" wrapText="1"/>
    </xf>
    <xf numFmtId="0" fontId="12" fillId="0" borderId="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4" fontId="15" fillId="0" borderId="9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/>
    <xf numFmtId="4" fontId="22" fillId="0" borderId="0" xfId="0" applyNumberFormat="1" applyFont="1" applyBorder="1"/>
    <xf numFmtId="4" fontId="22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right"/>
    </xf>
    <xf numFmtId="4" fontId="22" fillId="2" borderId="0" xfId="0" applyNumberFormat="1" applyFont="1" applyFill="1" applyBorder="1"/>
    <xf numFmtId="0" fontId="0" fillId="0" borderId="9" xfId="0" applyBorder="1" applyAlignment="1">
      <alignment horizontal="center"/>
    </xf>
    <xf numFmtId="0" fontId="12" fillId="0" borderId="9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4" fontId="12" fillId="2" borderId="0" xfId="0" applyNumberFormat="1" applyFont="1" applyFill="1" applyBorder="1" applyAlignment="1">
      <alignment horizontal="center"/>
    </xf>
    <xf numFmtId="4" fontId="22" fillId="2" borderId="32" xfId="0" applyNumberFormat="1" applyFont="1" applyFill="1" applyBorder="1" applyAlignment="1"/>
    <xf numFmtId="4" fontId="22" fillId="2" borderId="0" xfId="0" applyNumberFormat="1" applyFont="1" applyFill="1" applyBorder="1" applyAlignment="1"/>
    <xf numFmtId="4" fontId="12" fillId="0" borderId="0" xfId="0" applyNumberFormat="1" applyFont="1" applyAlignment="1"/>
    <xf numFmtId="0" fontId="15" fillId="0" borderId="25" xfId="0" applyFont="1" applyBorder="1" applyAlignment="1">
      <alignment horizontal="center" vertical="center" wrapText="1"/>
    </xf>
    <xf numFmtId="4" fontId="12" fillId="2" borderId="13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2" fillId="0" borderId="31" xfId="0" applyFont="1" applyBorder="1" applyAlignment="1">
      <alignment horizontal="center"/>
    </xf>
    <xf numFmtId="4" fontId="12" fillId="0" borderId="20" xfId="0" applyNumberFormat="1" applyFont="1" applyFill="1" applyBorder="1" applyAlignment="1">
      <alignment horizontal="center" vertical="center" wrapText="1"/>
    </xf>
    <xf numFmtId="4" fontId="12" fillId="2" borderId="9" xfId="0" applyNumberFormat="1" applyFont="1" applyFill="1" applyBorder="1" applyAlignment="1">
      <alignment horizontal="center"/>
    </xf>
    <xf numFmtId="4" fontId="16" fillId="2" borderId="9" xfId="0" applyNumberFormat="1" applyFont="1" applyFill="1" applyBorder="1" applyAlignment="1">
      <alignment horizontal="center" vertical="center" wrapText="1"/>
    </xf>
    <xf numFmtId="4" fontId="22" fillId="2" borderId="9" xfId="0" applyNumberFormat="1" applyFont="1" applyFill="1" applyBorder="1" applyAlignment="1">
      <alignment horizontal="center" vertical="center" wrapText="1"/>
    </xf>
    <xf numFmtId="4" fontId="12" fillId="2" borderId="34" xfId="0" applyNumberFormat="1" applyFont="1" applyFill="1" applyBorder="1" applyAlignment="1">
      <alignment horizontal="center" vertical="center" wrapText="1"/>
    </xf>
    <xf numFmtId="4" fontId="15" fillId="2" borderId="9" xfId="0" applyNumberFormat="1" applyFont="1" applyFill="1" applyBorder="1" applyAlignment="1">
      <alignment horizontal="center"/>
    </xf>
    <xf numFmtId="4" fontId="15" fillId="2" borderId="9" xfId="0" applyNumberFormat="1" applyFont="1" applyFill="1" applyBorder="1" applyAlignment="1">
      <alignment vertical="center" wrapText="1"/>
    </xf>
    <xf numFmtId="0" fontId="15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4" fontId="29" fillId="0" borderId="9" xfId="0" applyNumberFormat="1" applyFont="1" applyBorder="1" applyAlignment="1">
      <alignment horizontal="center" vertical="center" wrapText="1"/>
    </xf>
    <xf numFmtId="0" fontId="28" fillId="3" borderId="9" xfId="0" applyFont="1" applyFill="1" applyBorder="1"/>
    <xf numFmtId="0" fontId="15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4" fontId="12" fillId="2" borderId="9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4" fontId="12" fillId="0" borderId="9" xfId="0" applyNumberFormat="1" applyFont="1" applyBorder="1" applyAlignment="1">
      <alignment horizontal="center"/>
    </xf>
    <xf numFmtId="4" fontId="15" fillId="0" borderId="9" xfId="0" applyNumberFormat="1" applyFont="1" applyBorder="1" applyAlignment="1">
      <alignment horizontal="center" vertical="center" wrapText="1"/>
    </xf>
    <xf numFmtId="0" fontId="15" fillId="0" borderId="9" xfId="0" applyNumberFormat="1" applyFont="1" applyBorder="1" applyAlignment="1">
      <alignment horizontal="center" vertical="center" wrapText="1"/>
    </xf>
    <xf numFmtId="4" fontId="15" fillId="2" borderId="9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2" fillId="4" borderId="9" xfId="0" applyFont="1" applyFill="1" applyBorder="1"/>
    <xf numFmtId="2" fontId="12" fillId="4" borderId="9" xfId="0" applyNumberFormat="1" applyFont="1" applyFill="1" applyBorder="1"/>
    <xf numFmtId="4" fontId="22" fillId="4" borderId="9" xfId="0" applyNumberFormat="1" applyFont="1" applyFill="1" applyBorder="1"/>
    <xf numFmtId="4" fontId="12" fillId="4" borderId="9" xfId="0" applyNumberFormat="1" applyFont="1" applyFill="1" applyBorder="1"/>
    <xf numFmtId="0" fontId="28" fillId="5" borderId="9" xfId="0" applyFont="1" applyFill="1" applyBorder="1"/>
    <xf numFmtId="0" fontId="12" fillId="4" borderId="9" xfId="0" applyFont="1" applyFill="1" applyBorder="1" applyAlignment="1">
      <alignment horizontal="left" wrapText="1"/>
    </xf>
    <xf numFmtId="0" fontId="13" fillId="0" borderId="0" xfId="2" applyNumberFormat="1" applyFont="1" applyBorder="1" applyAlignment="1">
      <alignment horizontal="left"/>
    </xf>
    <xf numFmtId="0" fontId="13" fillId="0" borderId="0" xfId="2" applyNumberFormat="1" applyFont="1" applyBorder="1" applyAlignment="1">
      <alignment horizontal="center"/>
    </xf>
    <xf numFmtId="0" fontId="13" fillId="0" borderId="31" xfId="2" applyNumberFormat="1" applyFont="1" applyFill="1" applyBorder="1" applyAlignment="1">
      <alignment horizontal="center"/>
    </xf>
    <xf numFmtId="0" fontId="13" fillId="0" borderId="0" xfId="2" applyNumberFormat="1" applyFont="1" applyBorder="1" applyAlignment="1">
      <alignment horizontal="center" vertical="top"/>
    </xf>
    <xf numFmtId="0" fontId="13" fillId="0" borderId="32" xfId="2" applyNumberFormat="1" applyFont="1" applyBorder="1" applyAlignment="1">
      <alignment horizontal="center" vertical="top"/>
    </xf>
    <xf numFmtId="0" fontId="13" fillId="0" borderId="31" xfId="2" applyNumberFormat="1" applyFont="1" applyBorder="1" applyAlignment="1">
      <alignment horizontal="center" vertical="top" wrapText="1"/>
    </xf>
    <xf numFmtId="49" fontId="13" fillId="0" borderId="31" xfId="2" applyNumberFormat="1" applyFont="1" applyFill="1" applyBorder="1" applyAlignment="1">
      <alignment horizontal="center"/>
    </xf>
    <xf numFmtId="0" fontId="13" fillId="0" borderId="0" xfId="2" applyNumberFormat="1" applyFont="1" applyBorder="1" applyAlignment="1">
      <alignment horizontal="left"/>
    </xf>
    <xf numFmtId="0" fontId="13" fillId="0" borderId="0" xfId="2" applyNumberFormat="1" applyFont="1" applyBorder="1" applyAlignment="1">
      <alignment horizontal="right"/>
    </xf>
    <xf numFmtId="49" fontId="13" fillId="0" borderId="31" xfId="2" applyNumberFormat="1" applyFont="1" applyFill="1" applyBorder="1" applyAlignment="1">
      <alignment horizontal="left"/>
    </xf>
    <xf numFmtId="49" fontId="13" fillId="0" borderId="9" xfId="2" applyNumberFormat="1" applyFont="1" applyFill="1" applyBorder="1" applyAlignment="1">
      <alignment horizontal="center"/>
    </xf>
    <xf numFmtId="0" fontId="14" fillId="0" borderId="0" xfId="2" applyNumberFormat="1" applyFont="1" applyBorder="1" applyAlignment="1">
      <alignment horizontal="center"/>
    </xf>
    <xf numFmtId="49" fontId="13" fillId="0" borderId="9" xfId="2" applyNumberFormat="1" applyFont="1" applyBorder="1" applyAlignment="1">
      <alignment horizontal="center" vertical="center"/>
    </xf>
    <xf numFmtId="0" fontId="21" fillId="0" borderId="0" xfId="2" applyNumberFormat="1" applyFont="1" applyBorder="1" applyAlignment="1">
      <alignment horizontal="right"/>
    </xf>
    <xf numFmtId="0" fontId="13" fillId="0" borderId="31" xfId="2" applyNumberFormat="1" applyFont="1" applyFill="1" applyBorder="1" applyAlignment="1">
      <alignment horizontal="center" wrapText="1"/>
    </xf>
    <xf numFmtId="0" fontId="13" fillId="0" borderId="0" xfId="2" applyNumberFormat="1" applyFont="1" applyFill="1" applyBorder="1" applyAlignment="1">
      <alignment horizontal="center" wrapText="1"/>
    </xf>
    <xf numFmtId="0" fontId="13" fillId="0" borderId="0" xfId="2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3" fillId="0" borderId="0" xfId="2" applyNumberFormat="1" applyFont="1" applyBorder="1" applyAlignment="1">
      <alignment horizontal="center" wrapText="1"/>
    </xf>
    <xf numFmtId="0" fontId="13" fillId="0" borderId="31" xfId="2" applyNumberFormat="1" applyFont="1" applyBorder="1" applyAlignment="1">
      <alignment horizontal="center" wrapText="1"/>
    </xf>
    <xf numFmtId="0" fontId="15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left" wrapText="1"/>
    </xf>
    <xf numFmtId="0" fontId="13" fillId="0" borderId="31" xfId="2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14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33" xfId="0" applyFont="1" applyBorder="1" applyAlignment="1">
      <alignment horizontal="right"/>
    </xf>
    <xf numFmtId="0" fontId="12" fillId="0" borderId="35" xfId="0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4" fontId="12" fillId="2" borderId="33" xfId="0" applyNumberFormat="1" applyFont="1" applyFill="1" applyBorder="1" applyAlignment="1">
      <alignment horizontal="center"/>
    </xf>
    <xf numFmtId="4" fontId="12" fillId="2" borderId="35" xfId="0" applyNumberFormat="1" applyFont="1" applyFill="1" applyBorder="1" applyAlignment="1">
      <alignment horizontal="center"/>
    </xf>
    <xf numFmtId="4" fontId="12" fillId="2" borderId="20" xfId="0" applyNumberFormat="1" applyFont="1" applyFill="1" applyBorder="1" applyAlignment="1">
      <alignment horizontal="center"/>
    </xf>
    <xf numFmtId="4" fontId="12" fillId="0" borderId="33" xfId="0" applyNumberFormat="1" applyFont="1" applyBorder="1" applyAlignment="1">
      <alignment horizontal="right"/>
    </xf>
    <xf numFmtId="4" fontId="12" fillId="0" borderId="35" xfId="0" applyNumberFormat="1" applyFont="1" applyBorder="1" applyAlignment="1">
      <alignment horizontal="right"/>
    </xf>
    <xf numFmtId="4" fontId="12" fillId="0" borderId="2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4" fontId="15" fillId="0" borderId="33" xfId="0" applyNumberFormat="1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4" fontId="15" fillId="2" borderId="9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5" fillId="0" borderId="33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" fontId="15" fillId="0" borderId="9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righ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15" fillId="0" borderId="33" xfId="0" applyNumberFormat="1" applyFont="1" applyBorder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0" fontId="15" fillId="0" borderId="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4" fontId="22" fillId="0" borderId="9" xfId="0" applyNumberFormat="1" applyFont="1" applyBorder="1" applyAlignment="1">
      <alignment horizontal="center"/>
    </xf>
    <xf numFmtId="4" fontId="28" fillId="0" borderId="33" xfId="0" applyNumberFormat="1" applyFont="1" applyBorder="1" applyAlignment="1">
      <alignment horizontal="center"/>
    </xf>
    <xf numFmtId="4" fontId="28" fillId="0" borderId="20" xfId="0" applyNumberFormat="1" applyFont="1" applyBorder="1" applyAlignment="1">
      <alignment horizontal="center"/>
    </xf>
    <xf numFmtId="4" fontId="12" fillId="0" borderId="33" xfId="0" applyNumberFormat="1" applyFont="1" applyBorder="1" applyAlignment="1">
      <alignment horizontal="center"/>
    </xf>
    <xf numFmtId="4" fontId="12" fillId="0" borderId="20" xfId="0" applyNumberFormat="1" applyFont="1" applyBorder="1" applyAlignment="1">
      <alignment horizontal="center"/>
    </xf>
    <xf numFmtId="4" fontId="28" fillId="3" borderId="33" xfId="0" applyNumberFormat="1" applyFont="1" applyFill="1" applyBorder="1" applyAlignment="1">
      <alignment horizontal="center"/>
    </xf>
    <xf numFmtId="4" fontId="28" fillId="3" borderId="20" xfId="0" applyNumberFormat="1" applyFont="1" applyFill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" fontId="28" fillId="4" borderId="33" xfId="0" applyNumberFormat="1" applyFont="1" applyFill="1" applyBorder="1" applyAlignment="1">
      <alignment horizontal="center"/>
    </xf>
    <xf numFmtId="4" fontId="28" fillId="4" borderId="20" xfId="0" applyNumberFormat="1" applyFont="1" applyFill="1" applyBorder="1" applyAlignment="1">
      <alignment horizontal="center"/>
    </xf>
    <xf numFmtId="4" fontId="12" fillId="4" borderId="9" xfId="0" applyNumberFormat="1" applyFont="1" applyFill="1" applyBorder="1" applyAlignment="1">
      <alignment horizontal="center"/>
    </xf>
    <xf numFmtId="4" fontId="28" fillId="5" borderId="33" xfId="0" applyNumberFormat="1" applyFont="1" applyFill="1" applyBorder="1" applyAlignment="1">
      <alignment horizontal="center"/>
    </xf>
    <xf numFmtId="4" fontId="28" fillId="5" borderId="20" xfId="0" applyNumberFormat="1" applyFont="1" applyFill="1" applyBorder="1" applyAlignment="1">
      <alignment horizontal="center"/>
    </xf>
    <xf numFmtId="4" fontId="12" fillId="4" borderId="33" xfId="0" applyNumberFormat="1" applyFont="1" applyFill="1" applyBorder="1" applyAlignment="1">
      <alignment horizontal="center"/>
    </xf>
    <xf numFmtId="4" fontId="12" fillId="4" borderId="20" xfId="0" applyNumberFormat="1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61</xdr:col>
      <xdr:colOff>0</xdr:colOff>
      <xdr:row>9</xdr:row>
      <xdr:rowOff>215661</xdr:rowOff>
    </xdr:from>
    <xdr:to>
      <xdr:col>89</xdr:col>
      <xdr:colOff>47894</xdr:colOff>
      <xdr:row>15</xdr:row>
      <xdr:rowOff>157549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2604" y="1240047"/>
          <a:ext cx="1859441" cy="1688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D33253F2348A3E68BA8211C38D74F6A5D1E534EAF697581F83E1211C13C326719F7C7880DF9AJ41D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D33253F2348A3E68BA8211C38D74F6A5D2EC32E1F598581F83E1211C13JC13M" TargetMode="External"/><Relationship Id="rId1" Type="http://schemas.openxmlformats.org/officeDocument/2006/relationships/hyperlink" Target="consultantplus://offline/ref=D33253F2348A3E68BA8211C38D74F6A5D1E534EBFB95581F83E1211C13JC13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8"/>
  <sheetViews>
    <sheetView tabSelected="1" view="pageBreakPreview" zoomScale="80" zoomScaleNormal="80" zoomScaleSheetLayoutView="80" workbookViewId="0">
      <selection activeCell="GG14" sqref="GG14"/>
    </sheetView>
  </sheetViews>
  <sheetFormatPr defaultColWidth="1" defaultRowHeight="13.95" customHeight="1" x14ac:dyDescent="0.25"/>
  <cols>
    <col min="40" max="40" width="8.125" customWidth="1"/>
    <col min="67" max="67" width="1" customWidth="1"/>
    <col min="107" max="107" width="2.875" customWidth="1"/>
    <col min="142" max="142" width="2.375" customWidth="1"/>
  </cols>
  <sheetData>
    <row r="1" spans="1:167" s="7" customFormat="1" ht="9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 t="s">
        <v>179</v>
      </c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</row>
    <row r="2" spans="1:167" s="7" customFormat="1" ht="9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 t="s">
        <v>178</v>
      </c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</row>
    <row r="3" spans="1:167" s="7" customFormat="1" ht="9" customHeight="1" x14ac:dyDescent="0.2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  <c r="DM3" s="263"/>
      <c r="DN3" s="263"/>
      <c r="DO3" s="263"/>
      <c r="DP3" s="263"/>
      <c r="DQ3" s="263"/>
      <c r="DR3" s="263"/>
      <c r="DS3" s="263"/>
      <c r="DT3" s="263"/>
      <c r="DU3" s="263"/>
      <c r="DV3" s="263"/>
      <c r="DW3" s="263"/>
      <c r="DX3" s="263"/>
      <c r="DY3" s="263"/>
      <c r="DZ3" s="263"/>
      <c r="EA3" s="263"/>
      <c r="EB3" s="263"/>
      <c r="EC3" s="263"/>
      <c r="ED3" s="263"/>
      <c r="EE3" s="263"/>
      <c r="EF3" s="263"/>
      <c r="EG3" s="263"/>
      <c r="EH3" s="263"/>
      <c r="EI3" s="263"/>
      <c r="EJ3" s="263"/>
      <c r="EK3" s="263"/>
      <c r="EL3" s="263"/>
      <c r="EM3" s="263"/>
      <c r="EN3" s="263"/>
      <c r="EO3" s="263"/>
      <c r="EP3" s="263"/>
      <c r="EQ3" s="263"/>
      <c r="ER3" s="263"/>
      <c r="ES3" s="263"/>
      <c r="ET3" s="263"/>
      <c r="EU3" s="263"/>
      <c r="EV3" s="263"/>
      <c r="EW3" s="263"/>
      <c r="EX3" s="263"/>
      <c r="EY3" s="263"/>
      <c r="EZ3" s="263"/>
      <c r="FA3" s="263"/>
      <c r="FB3" s="263"/>
      <c r="FC3" s="263"/>
      <c r="FD3" s="263"/>
      <c r="FE3" s="263"/>
      <c r="FF3" s="263"/>
      <c r="FG3" s="263"/>
      <c r="FH3" s="263"/>
      <c r="FI3" s="263"/>
      <c r="FJ3" s="263"/>
      <c r="FK3" s="263"/>
    </row>
    <row r="4" spans="1:167" s="7" customFormat="1" ht="9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</row>
    <row r="5" spans="1:167" s="7" customFormat="1" ht="9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</row>
    <row r="6" spans="1:167" s="7" customFormat="1" ht="3.1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</row>
    <row r="7" spans="1:167" s="9" customFormat="1" ht="9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</row>
    <row r="8" spans="1:167" s="7" customFormat="1" ht="5.95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</row>
    <row r="9" spans="1:167" s="6" customFormat="1" ht="21.7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264" t="s">
        <v>0</v>
      </c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264"/>
      <c r="DO9" s="264"/>
      <c r="DP9" s="264"/>
      <c r="DQ9" s="264"/>
      <c r="DR9" s="264"/>
      <c r="DS9" s="264"/>
      <c r="DT9" s="264"/>
      <c r="DU9" s="264"/>
      <c r="DV9" s="264"/>
      <c r="DW9" s="264"/>
      <c r="DX9" s="264"/>
      <c r="DY9" s="264"/>
      <c r="DZ9" s="264"/>
      <c r="EA9" s="264"/>
      <c r="EB9" s="264"/>
      <c r="EC9" s="264"/>
      <c r="ED9" s="264"/>
      <c r="EE9" s="264"/>
      <c r="EF9" s="264"/>
      <c r="EG9" s="264"/>
      <c r="EH9" s="264"/>
      <c r="EI9" s="264"/>
      <c r="EJ9" s="264"/>
      <c r="EK9" s="264"/>
      <c r="EL9" s="264"/>
      <c r="EM9" s="264"/>
      <c r="EN9" s="264"/>
      <c r="EO9" s="264"/>
      <c r="EP9" s="264"/>
      <c r="EQ9" s="264"/>
      <c r="ER9" s="264"/>
      <c r="ES9" s="264"/>
      <c r="ET9" s="264"/>
      <c r="EU9" s="264"/>
      <c r="EV9" s="264"/>
      <c r="EW9" s="264"/>
      <c r="EX9" s="264"/>
      <c r="EY9" s="264"/>
      <c r="EZ9" s="264"/>
      <c r="FA9" s="264"/>
      <c r="FB9" s="264"/>
      <c r="FC9" s="264"/>
      <c r="FD9" s="264"/>
      <c r="FE9" s="264"/>
      <c r="FF9" s="264"/>
      <c r="FG9" s="264"/>
      <c r="FH9" s="264"/>
      <c r="FI9" s="264"/>
      <c r="FJ9" s="264"/>
      <c r="FK9" s="264"/>
    </row>
    <row r="10" spans="1:167" s="6" customFormat="1" ht="21.1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265" t="s">
        <v>402</v>
      </c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  <c r="DQ10" s="265"/>
      <c r="DR10" s="265"/>
      <c r="DS10" s="265"/>
      <c r="DT10" s="265"/>
      <c r="DU10" s="265"/>
      <c r="DV10" s="265"/>
      <c r="DW10" s="265"/>
      <c r="DX10" s="265"/>
      <c r="DY10" s="265"/>
      <c r="DZ10" s="265"/>
      <c r="EA10" s="265"/>
      <c r="EB10" s="265"/>
      <c r="EC10" s="265"/>
      <c r="ED10" s="265"/>
      <c r="EE10" s="265"/>
      <c r="EF10" s="265"/>
      <c r="EG10" s="265"/>
      <c r="EH10" s="265"/>
      <c r="EI10" s="265"/>
      <c r="EJ10" s="265"/>
      <c r="EK10" s="265"/>
      <c r="EL10" s="265"/>
      <c r="EM10" s="265"/>
      <c r="EN10" s="265"/>
      <c r="EO10" s="265"/>
      <c r="EP10" s="265"/>
      <c r="EQ10" s="265"/>
      <c r="ER10" s="265"/>
      <c r="ES10" s="265"/>
      <c r="ET10" s="265"/>
      <c r="EU10" s="265"/>
      <c r="EV10" s="265"/>
      <c r="EW10" s="265"/>
      <c r="EX10" s="265"/>
      <c r="EY10" s="265"/>
      <c r="EZ10" s="265"/>
      <c r="FA10" s="265"/>
      <c r="FB10" s="265"/>
      <c r="FC10" s="265"/>
      <c r="FD10" s="265"/>
      <c r="FE10" s="265"/>
      <c r="FF10" s="265"/>
      <c r="FG10" s="265"/>
      <c r="FH10" s="265"/>
      <c r="FI10" s="265"/>
      <c r="FJ10" s="265"/>
      <c r="FK10" s="265"/>
    </row>
    <row r="11" spans="1:167" s="7" customFormat="1" ht="23.95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266" t="s">
        <v>192</v>
      </c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  <c r="DQ11" s="266"/>
      <c r="DR11" s="266"/>
      <c r="DS11" s="266"/>
      <c r="DT11" s="266"/>
      <c r="DU11" s="266"/>
      <c r="DV11" s="266"/>
      <c r="DW11" s="266"/>
      <c r="DX11" s="266"/>
      <c r="DY11" s="266"/>
      <c r="DZ11" s="266"/>
      <c r="EA11" s="266"/>
      <c r="EB11" s="266"/>
      <c r="EC11" s="266"/>
      <c r="ED11" s="266"/>
      <c r="EE11" s="266"/>
      <c r="EF11" s="266"/>
      <c r="EG11" s="266"/>
      <c r="EH11" s="266"/>
      <c r="EI11" s="266"/>
      <c r="EJ11" s="266"/>
      <c r="EK11" s="266"/>
      <c r="EL11" s="266"/>
      <c r="EM11" s="266"/>
      <c r="EN11" s="266"/>
      <c r="EO11" s="266"/>
      <c r="EP11" s="266"/>
      <c r="EQ11" s="266"/>
      <c r="ER11" s="266"/>
      <c r="ES11" s="266"/>
      <c r="ET11" s="266"/>
      <c r="EU11" s="266"/>
      <c r="EV11" s="266"/>
      <c r="EW11" s="266"/>
      <c r="EX11" s="266"/>
      <c r="EY11" s="266"/>
      <c r="EZ11" s="266"/>
      <c r="FA11" s="266"/>
      <c r="FB11" s="266"/>
      <c r="FC11" s="266"/>
      <c r="FD11" s="266"/>
      <c r="FE11" s="266"/>
      <c r="FF11" s="266"/>
      <c r="FG11" s="266"/>
      <c r="FH11" s="266"/>
      <c r="FI11" s="266"/>
      <c r="FJ11" s="266"/>
      <c r="FK11" s="266"/>
    </row>
    <row r="12" spans="1:167" s="7" customFormat="1" ht="36" customHeight="1" x14ac:dyDescent="0.2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7"/>
      <c r="BQ12" s="117"/>
      <c r="BR12" s="268" t="s">
        <v>210</v>
      </c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8"/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  <c r="DQ12" s="268"/>
      <c r="DR12" s="268"/>
      <c r="DS12" s="268"/>
      <c r="DT12" s="268"/>
      <c r="DU12" s="268"/>
      <c r="DV12" s="268"/>
      <c r="DW12" s="268"/>
      <c r="DX12" s="268"/>
      <c r="DY12" s="268"/>
      <c r="DZ12" s="268"/>
      <c r="EA12" s="268"/>
      <c r="EB12" s="268"/>
      <c r="EC12" s="268"/>
      <c r="ED12" s="268"/>
      <c r="EE12" s="268"/>
      <c r="EF12" s="268"/>
      <c r="EG12" s="268"/>
      <c r="EH12" s="268"/>
      <c r="EI12" s="268"/>
      <c r="EJ12" s="268"/>
      <c r="EK12" s="268"/>
      <c r="EL12" s="268"/>
      <c r="EM12" s="268"/>
      <c r="EN12" s="268"/>
      <c r="EO12" s="268"/>
      <c r="EP12" s="268"/>
      <c r="EQ12" s="268"/>
      <c r="ER12" s="268"/>
      <c r="ES12" s="268"/>
      <c r="ET12" s="268"/>
      <c r="EU12" s="268"/>
      <c r="EV12" s="268"/>
      <c r="EW12" s="268"/>
      <c r="EX12" s="268"/>
      <c r="EY12" s="268"/>
      <c r="EZ12" s="268"/>
      <c r="FA12" s="268"/>
      <c r="FB12" s="268"/>
      <c r="FC12" s="268"/>
      <c r="FD12" s="268"/>
      <c r="FE12" s="268"/>
      <c r="FF12" s="268"/>
      <c r="FG12" s="268"/>
      <c r="FH12" s="268"/>
      <c r="FI12" s="268"/>
      <c r="FJ12" s="268"/>
      <c r="FK12" s="117"/>
    </row>
    <row r="13" spans="1:167" s="7" customFormat="1" ht="23.95" customHeight="1" x14ac:dyDescent="0.25">
      <c r="A13" s="118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267" t="s">
        <v>209</v>
      </c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67"/>
      <c r="CC13" s="267"/>
      <c r="CD13" s="267"/>
      <c r="CE13" s="267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7"/>
      <c r="DG13" s="267"/>
      <c r="DH13" s="267"/>
      <c r="DI13" s="267"/>
      <c r="DJ13" s="267"/>
      <c r="DK13" s="267"/>
      <c r="DL13" s="267"/>
      <c r="DM13" s="267"/>
      <c r="DN13" s="267"/>
      <c r="DO13" s="267"/>
      <c r="DP13" s="267"/>
      <c r="DQ13" s="267"/>
      <c r="DR13" s="267"/>
      <c r="DS13" s="267"/>
      <c r="DT13" s="267"/>
      <c r="DU13" s="267"/>
      <c r="DV13" s="267"/>
      <c r="DW13" s="267"/>
      <c r="DX13" s="267"/>
      <c r="DY13" s="267"/>
      <c r="DZ13" s="267"/>
      <c r="EA13" s="267"/>
      <c r="EB13" s="267"/>
      <c r="EC13" s="267"/>
      <c r="ED13" s="267"/>
      <c r="EE13" s="267"/>
      <c r="EF13" s="267"/>
      <c r="EG13" s="267"/>
      <c r="EH13" s="267"/>
      <c r="EI13" s="267"/>
      <c r="EJ13" s="267"/>
      <c r="EK13" s="267"/>
      <c r="EL13" s="267"/>
      <c r="EM13" s="267"/>
      <c r="EN13" s="267"/>
      <c r="EO13" s="267"/>
      <c r="EP13" s="267"/>
      <c r="EQ13" s="267"/>
      <c r="ER13" s="267"/>
      <c r="ES13" s="267"/>
      <c r="ET13" s="267"/>
      <c r="EU13" s="267"/>
      <c r="EV13" s="267"/>
      <c r="EW13" s="267"/>
      <c r="EX13" s="267"/>
      <c r="EY13" s="267"/>
      <c r="EZ13" s="267"/>
      <c r="FA13" s="267"/>
      <c r="FB13" s="267"/>
      <c r="FC13" s="267"/>
      <c r="FD13" s="267"/>
      <c r="FE13" s="267"/>
      <c r="FF13" s="267"/>
      <c r="FG13" s="267"/>
      <c r="FH13" s="267"/>
      <c r="FI13" s="267"/>
      <c r="FJ13" s="267"/>
      <c r="FK13" s="267"/>
    </row>
    <row r="14" spans="1:167" s="6" customFormat="1" ht="14.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12"/>
      <c r="CM14" s="12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2"/>
      <c r="DU14" s="12"/>
      <c r="DV14" s="12"/>
      <c r="DW14" s="12"/>
      <c r="DX14" s="12"/>
      <c r="DY14" s="265" t="s">
        <v>403</v>
      </c>
      <c r="DZ14" s="265"/>
      <c r="EA14" s="265"/>
      <c r="EB14" s="265"/>
      <c r="EC14" s="265"/>
      <c r="ED14" s="265"/>
      <c r="EE14" s="265"/>
      <c r="EF14" s="265"/>
      <c r="EG14" s="265"/>
      <c r="EH14" s="265"/>
      <c r="EI14" s="265"/>
      <c r="EJ14" s="265"/>
      <c r="EK14" s="265"/>
      <c r="EL14" s="265"/>
      <c r="EM14" s="265"/>
      <c r="EN14" s="265"/>
      <c r="EO14" s="265"/>
      <c r="EP14" s="265"/>
      <c r="EQ14" s="265"/>
      <c r="ER14" s="265"/>
      <c r="ES14" s="265"/>
      <c r="ET14" s="265"/>
      <c r="EU14" s="265"/>
      <c r="EV14" s="265"/>
      <c r="EW14" s="265"/>
      <c r="EX14" s="265"/>
      <c r="EY14" s="265"/>
      <c r="EZ14" s="265"/>
      <c r="FA14" s="265"/>
      <c r="FB14" s="265"/>
      <c r="FC14" s="265"/>
      <c r="FD14" s="265"/>
      <c r="FE14" s="265"/>
      <c r="FF14" s="265"/>
      <c r="FG14" s="265"/>
      <c r="FH14" s="265"/>
      <c r="FI14" s="265"/>
      <c r="FJ14" s="265"/>
      <c r="FK14" s="265"/>
    </row>
    <row r="15" spans="1:167" s="7" customFormat="1" ht="18.7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267" t="s">
        <v>161</v>
      </c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13"/>
      <c r="CM15" s="13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266" t="s">
        <v>166</v>
      </c>
      <c r="DZ15" s="266"/>
      <c r="EA15" s="266"/>
      <c r="EB15" s="266"/>
      <c r="EC15" s="266"/>
      <c r="ED15" s="266"/>
      <c r="EE15" s="266"/>
      <c r="EF15" s="266"/>
      <c r="EG15" s="266"/>
      <c r="EH15" s="266"/>
      <c r="EI15" s="266"/>
      <c r="EJ15" s="266"/>
      <c r="EK15" s="266"/>
      <c r="EL15" s="266"/>
      <c r="EM15" s="266"/>
      <c r="EN15" s="266"/>
      <c r="EO15" s="266"/>
      <c r="EP15" s="266"/>
      <c r="EQ15" s="266"/>
      <c r="ER15" s="266"/>
      <c r="ES15" s="266"/>
      <c r="ET15" s="266"/>
      <c r="EU15" s="266"/>
      <c r="EV15" s="266"/>
      <c r="EW15" s="266"/>
      <c r="EX15" s="266"/>
      <c r="EY15" s="266"/>
      <c r="EZ15" s="266"/>
      <c r="FA15" s="266"/>
      <c r="FB15" s="266"/>
      <c r="FC15" s="266"/>
      <c r="FD15" s="266"/>
      <c r="FE15" s="266"/>
      <c r="FF15" s="266"/>
      <c r="FG15" s="266"/>
      <c r="FH15" s="266"/>
      <c r="FI15" s="266"/>
      <c r="FJ15" s="266"/>
      <c r="FK15" s="266"/>
    </row>
    <row r="16" spans="1:167" s="6" customFormat="1" ht="18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4" t="s">
        <v>165</v>
      </c>
      <c r="BQ16" s="269" t="s">
        <v>412</v>
      </c>
      <c r="BR16" s="269"/>
      <c r="BS16" s="269"/>
      <c r="BT16" s="269"/>
      <c r="BU16" s="269"/>
      <c r="BV16" s="270" t="s">
        <v>165</v>
      </c>
      <c r="BW16" s="270"/>
      <c r="BX16" s="269" t="s">
        <v>406</v>
      </c>
      <c r="BY16" s="269"/>
      <c r="BZ16" s="269"/>
      <c r="CA16" s="269"/>
      <c r="CB16" s="269"/>
      <c r="CC16" s="269"/>
      <c r="CD16" s="269"/>
      <c r="CE16" s="269"/>
      <c r="CF16" s="269"/>
      <c r="CG16" s="269"/>
      <c r="CH16" s="269"/>
      <c r="CI16" s="269"/>
      <c r="CJ16" s="269"/>
      <c r="CK16" s="269"/>
      <c r="CL16" s="269"/>
      <c r="CM16" s="269"/>
      <c r="CN16" s="269"/>
      <c r="CO16" s="269"/>
      <c r="CP16" s="269"/>
      <c r="CQ16" s="269"/>
      <c r="CR16" s="269"/>
      <c r="CS16" s="269"/>
      <c r="CT16" s="269"/>
      <c r="CU16" s="271">
        <v>20</v>
      </c>
      <c r="CV16" s="271"/>
      <c r="CW16" s="271"/>
      <c r="CX16" s="271"/>
      <c r="CY16" s="272" t="s">
        <v>378</v>
      </c>
      <c r="CZ16" s="272"/>
      <c r="DA16" s="272"/>
      <c r="DB16" s="270" t="s">
        <v>164</v>
      </c>
      <c r="DC16" s="270"/>
      <c r="DD16" s="270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4"/>
    </row>
    <row r="17" spans="1:167" s="6" customFormat="1" ht="10.55" customHeigh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4"/>
      <c r="BQ17" s="15"/>
      <c r="BR17" s="15"/>
      <c r="BS17" s="15"/>
      <c r="BT17" s="15"/>
      <c r="BU17" s="15"/>
      <c r="BV17" s="11"/>
      <c r="BW17" s="11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4"/>
      <c r="CV17" s="14"/>
      <c r="CW17" s="14"/>
      <c r="CX17" s="14"/>
      <c r="CY17" s="16"/>
      <c r="CZ17" s="16"/>
      <c r="DA17" s="16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4"/>
    </row>
    <row r="18" spans="1:167" s="6" customFormat="1" ht="10.55" customHeigh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4"/>
      <c r="BQ18" s="15"/>
      <c r="BR18" s="15"/>
      <c r="BS18" s="15"/>
      <c r="BT18" s="15"/>
      <c r="BU18" s="15"/>
      <c r="BV18" s="11"/>
      <c r="BW18" s="11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4"/>
      <c r="CV18" s="14"/>
      <c r="CW18" s="14"/>
      <c r="CX18" s="14"/>
      <c r="CY18" s="16"/>
      <c r="CZ18" s="16"/>
      <c r="DA18" s="16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4"/>
    </row>
    <row r="19" spans="1:167" s="8" customFormat="1" ht="14.95" customHeight="1" x14ac:dyDescent="0.25">
      <c r="A19" s="11"/>
      <c r="B19" s="274" t="s">
        <v>1</v>
      </c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  <c r="CC19" s="274"/>
      <c r="CD19" s="274"/>
      <c r="CE19" s="274"/>
      <c r="CF19" s="274"/>
      <c r="CG19" s="274"/>
      <c r="CH19" s="274"/>
      <c r="CI19" s="274"/>
      <c r="CJ19" s="274"/>
      <c r="CK19" s="274"/>
      <c r="CL19" s="274"/>
      <c r="CM19" s="274"/>
      <c r="CN19" s="274"/>
      <c r="CO19" s="274"/>
      <c r="CP19" s="274"/>
      <c r="CQ19" s="274"/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4"/>
      <c r="DF19" s="274"/>
      <c r="DG19" s="274"/>
      <c r="DH19" s="274"/>
      <c r="DI19" s="274"/>
      <c r="DJ19" s="274"/>
      <c r="DK19" s="274"/>
      <c r="DL19" s="274"/>
      <c r="DM19" s="274"/>
      <c r="DN19" s="274"/>
      <c r="DO19" s="274"/>
      <c r="DP19" s="274"/>
      <c r="DQ19" s="274"/>
      <c r="DR19" s="274"/>
      <c r="DS19" s="274"/>
      <c r="DT19" s="274"/>
      <c r="DU19" s="274"/>
      <c r="DV19" s="274"/>
      <c r="DW19" s="274"/>
      <c r="DX19" s="274"/>
      <c r="DY19" s="274"/>
      <c r="DZ19" s="274"/>
      <c r="EA19" s="274"/>
      <c r="EB19" s="274"/>
      <c r="EC19" s="274"/>
      <c r="ED19" s="274"/>
      <c r="EE19" s="274"/>
      <c r="EF19" s="274"/>
      <c r="EG19" s="274"/>
      <c r="EH19" s="274"/>
      <c r="EI19" s="274"/>
      <c r="EJ19" s="274"/>
      <c r="EK19" s="274"/>
      <c r="EL19" s="274"/>
      <c r="EM19" s="274"/>
      <c r="EN19" s="274"/>
      <c r="EO19" s="274"/>
      <c r="EP19" s="274"/>
      <c r="EQ19" s="274"/>
      <c r="ER19" s="274"/>
      <c r="ES19" s="274"/>
      <c r="ET19" s="274"/>
      <c r="EU19" s="274"/>
      <c r="EV19" s="274"/>
      <c r="EW19" s="274"/>
      <c r="EX19" s="274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</row>
    <row r="20" spans="1:167" s="6" customFormat="1" ht="18.7" customHeight="1" x14ac:dyDescent="0.25">
      <c r="A20" s="17"/>
      <c r="B20" s="274" t="s">
        <v>397</v>
      </c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  <c r="CC20" s="274"/>
      <c r="CD20" s="274"/>
      <c r="CE20" s="274"/>
      <c r="CF20" s="274"/>
      <c r="CG20" s="274"/>
      <c r="CH20" s="274"/>
      <c r="CI20" s="274"/>
      <c r="CJ20" s="274"/>
      <c r="CK20" s="274"/>
      <c r="CL20" s="274"/>
      <c r="CM20" s="274"/>
      <c r="CN20" s="274"/>
      <c r="CO20" s="274"/>
      <c r="CP20" s="274"/>
      <c r="CQ20" s="274"/>
      <c r="CR20" s="274"/>
      <c r="CS20" s="274"/>
      <c r="CT20" s="274"/>
      <c r="CU20" s="274"/>
      <c r="CV20" s="274"/>
      <c r="CW20" s="274"/>
      <c r="CX20" s="274"/>
      <c r="CY20" s="274"/>
      <c r="CZ20" s="274"/>
      <c r="DA20" s="274"/>
      <c r="DB20" s="274"/>
      <c r="DC20" s="274"/>
      <c r="DD20" s="274"/>
      <c r="DE20" s="274"/>
      <c r="DF20" s="274"/>
      <c r="DG20" s="274"/>
      <c r="DH20" s="274"/>
      <c r="DI20" s="274"/>
      <c r="DJ20" s="274"/>
      <c r="DK20" s="274"/>
      <c r="DL20" s="274"/>
      <c r="DM20" s="274"/>
      <c r="DN20" s="274"/>
      <c r="DO20" s="274"/>
      <c r="DP20" s="274"/>
      <c r="DQ20" s="274"/>
      <c r="DR20" s="274"/>
      <c r="DS20" s="274"/>
      <c r="DT20" s="274"/>
      <c r="DU20" s="274"/>
      <c r="DV20" s="274"/>
      <c r="DW20" s="274"/>
      <c r="DX20" s="274"/>
      <c r="DY20" s="274"/>
      <c r="DZ20" s="274"/>
      <c r="EA20" s="274"/>
      <c r="EB20" s="274"/>
      <c r="EC20" s="274"/>
      <c r="ED20" s="274"/>
      <c r="EE20" s="274"/>
      <c r="EF20" s="274"/>
      <c r="EG20" s="274"/>
      <c r="EH20" s="274"/>
      <c r="EI20" s="274"/>
      <c r="EJ20" s="274"/>
      <c r="EK20" s="274"/>
      <c r="EL20" s="274"/>
      <c r="EM20" s="274"/>
      <c r="EN20" s="274"/>
      <c r="EO20" s="274"/>
      <c r="EP20" s="274"/>
      <c r="EQ20" s="274"/>
      <c r="ER20" s="274"/>
      <c r="ES20" s="274"/>
      <c r="ET20" s="274"/>
      <c r="EU20" s="274"/>
      <c r="EV20" s="274"/>
      <c r="EW20" s="274"/>
      <c r="EX20" s="274"/>
      <c r="EY20" s="11"/>
      <c r="EZ20" s="275" t="s">
        <v>177</v>
      </c>
      <c r="FA20" s="275"/>
      <c r="FB20" s="275"/>
      <c r="FC20" s="275"/>
      <c r="FD20" s="275"/>
      <c r="FE20" s="275"/>
      <c r="FF20" s="275"/>
      <c r="FG20" s="275"/>
      <c r="FH20" s="275"/>
      <c r="FI20" s="275"/>
      <c r="FJ20" s="275"/>
      <c r="FK20" s="275"/>
    </row>
    <row r="21" spans="1:167" s="6" customFormat="1" ht="12.1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8"/>
      <c r="EC21" s="18"/>
      <c r="ED21" s="18"/>
      <c r="EE21" s="18"/>
      <c r="EF21" s="19"/>
      <c r="EG21" s="19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1"/>
      <c r="ES21" s="21"/>
      <c r="ET21" s="21"/>
      <c r="EU21" s="21"/>
      <c r="EV21" s="11"/>
      <c r="EW21" s="20"/>
      <c r="EX21" s="21" t="s">
        <v>176</v>
      </c>
      <c r="EY21" s="11"/>
      <c r="EZ21" s="275" t="s">
        <v>175</v>
      </c>
      <c r="FA21" s="275"/>
      <c r="FB21" s="275"/>
      <c r="FC21" s="275"/>
      <c r="FD21" s="275"/>
      <c r="FE21" s="275"/>
      <c r="FF21" s="275"/>
      <c r="FG21" s="275"/>
      <c r="FH21" s="275"/>
      <c r="FI21" s="275"/>
      <c r="FJ21" s="275"/>
      <c r="FK21" s="275"/>
    </row>
    <row r="22" spans="1:167" s="6" customFormat="1" ht="17" customHeigh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4" t="s">
        <v>174</v>
      </c>
      <c r="AR22" s="269" t="s">
        <v>412</v>
      </c>
      <c r="AS22" s="269"/>
      <c r="AT22" s="269"/>
      <c r="AU22" s="269"/>
      <c r="AV22" s="269"/>
      <c r="AW22" s="270" t="s">
        <v>165</v>
      </c>
      <c r="AX22" s="270"/>
      <c r="AY22" s="269" t="s">
        <v>406</v>
      </c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76">
        <v>20</v>
      </c>
      <c r="BW22" s="276"/>
      <c r="BX22" s="276"/>
      <c r="BY22" s="276"/>
      <c r="BZ22" s="272" t="s">
        <v>378</v>
      </c>
      <c r="CA22" s="272"/>
      <c r="CB22" s="272"/>
      <c r="CC22" s="270" t="s">
        <v>164</v>
      </c>
      <c r="CD22" s="270"/>
      <c r="CE22" s="270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4"/>
      <c r="ES22" s="14"/>
      <c r="ET22" s="14"/>
      <c r="EU22" s="14"/>
      <c r="EV22" s="11"/>
      <c r="EW22" s="11"/>
      <c r="EX22" s="21" t="s">
        <v>173</v>
      </c>
      <c r="EY22" s="11"/>
      <c r="EZ22" s="273" t="s">
        <v>413</v>
      </c>
      <c r="FA22" s="273"/>
      <c r="FB22" s="273"/>
      <c r="FC22" s="273"/>
      <c r="FD22" s="273"/>
      <c r="FE22" s="273"/>
      <c r="FF22" s="273"/>
      <c r="FG22" s="273"/>
      <c r="FH22" s="273"/>
      <c r="FI22" s="273"/>
      <c r="FJ22" s="273"/>
      <c r="FK22" s="273"/>
    </row>
    <row r="23" spans="1:167" s="6" customFormat="1" ht="13.6" customHeight="1" x14ac:dyDescent="0.25">
      <c r="A23" s="11" t="s">
        <v>190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278" t="s">
        <v>193</v>
      </c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78"/>
      <c r="DM23" s="278"/>
      <c r="DN23" s="278"/>
      <c r="DO23" s="278"/>
      <c r="DP23" s="278"/>
      <c r="DQ23" s="278"/>
      <c r="DR23" s="278"/>
      <c r="DS23" s="278"/>
      <c r="DT23" s="278"/>
      <c r="DU23" s="278"/>
      <c r="DV23" s="278"/>
      <c r="DW23" s="278"/>
      <c r="DX23" s="278"/>
      <c r="DY23" s="278"/>
      <c r="DZ23" s="278"/>
      <c r="EA23" s="278"/>
      <c r="EB23" s="278"/>
      <c r="EC23" s="278"/>
      <c r="ED23" s="278"/>
      <c r="EE23" s="278"/>
      <c r="EF23" s="278"/>
      <c r="EG23" s="278"/>
      <c r="EH23" s="278"/>
      <c r="EI23" s="278"/>
      <c r="EJ23" s="278"/>
      <c r="EK23" s="278"/>
      <c r="EL23" s="278"/>
      <c r="EM23" s="11"/>
      <c r="EN23" s="11"/>
      <c r="EO23" s="11"/>
      <c r="EP23" s="11"/>
      <c r="EQ23" s="11"/>
      <c r="ER23" s="279" t="s">
        <v>168</v>
      </c>
      <c r="ES23" s="279"/>
      <c r="ET23" s="279"/>
      <c r="EU23" s="279"/>
      <c r="EV23" s="279"/>
      <c r="EW23" s="279"/>
      <c r="EX23" s="279"/>
      <c r="EY23" s="11"/>
      <c r="EZ23" s="273" t="s">
        <v>198</v>
      </c>
      <c r="FA23" s="273"/>
      <c r="FB23" s="273"/>
      <c r="FC23" s="273"/>
      <c r="FD23" s="273"/>
      <c r="FE23" s="273"/>
      <c r="FF23" s="273"/>
      <c r="FG23" s="273"/>
      <c r="FH23" s="273"/>
      <c r="FI23" s="273"/>
      <c r="FJ23" s="273"/>
      <c r="FK23" s="273"/>
    </row>
    <row r="24" spans="1:167" s="6" customFormat="1" ht="16.5" customHeight="1" x14ac:dyDescent="0.25">
      <c r="A24" s="11" t="s">
        <v>172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11"/>
      <c r="AN24" s="11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7"/>
      <c r="AZ24" s="277"/>
      <c r="BA24" s="277"/>
      <c r="BB24" s="277"/>
      <c r="BC24" s="277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7"/>
      <c r="BU24" s="277"/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  <c r="CG24" s="277"/>
      <c r="CH24" s="277"/>
      <c r="CI24" s="277"/>
      <c r="CJ24" s="277"/>
      <c r="CK24" s="277"/>
      <c r="CL24" s="277"/>
      <c r="CM24" s="277"/>
      <c r="CN24" s="277"/>
      <c r="CO24" s="277"/>
      <c r="CP24" s="277"/>
      <c r="CQ24" s="277"/>
      <c r="CR24" s="277"/>
      <c r="CS24" s="277"/>
      <c r="CT24" s="277"/>
      <c r="CU24" s="277"/>
      <c r="CV24" s="277"/>
      <c r="CW24" s="277"/>
      <c r="CX24" s="277"/>
      <c r="CY24" s="277"/>
      <c r="CZ24" s="277"/>
      <c r="DA24" s="277"/>
      <c r="DB24" s="277"/>
      <c r="DC24" s="277"/>
      <c r="DD24" s="277"/>
      <c r="DE24" s="277"/>
      <c r="DF24" s="277"/>
      <c r="DG24" s="277"/>
      <c r="DH24" s="277"/>
      <c r="DI24" s="277"/>
      <c r="DJ24" s="277"/>
      <c r="DK24" s="277"/>
      <c r="DL24" s="277"/>
      <c r="DM24" s="277"/>
      <c r="DN24" s="277"/>
      <c r="DO24" s="277"/>
      <c r="DP24" s="277"/>
      <c r="DQ24" s="277"/>
      <c r="DR24" s="277"/>
      <c r="DS24" s="277"/>
      <c r="DT24" s="277"/>
      <c r="DU24" s="277"/>
      <c r="DV24" s="277"/>
      <c r="DW24" s="277"/>
      <c r="DX24" s="277"/>
      <c r="DY24" s="277"/>
      <c r="DZ24" s="277"/>
      <c r="EA24" s="277"/>
      <c r="EB24" s="277"/>
      <c r="EC24" s="277"/>
      <c r="ED24" s="277"/>
      <c r="EE24" s="277"/>
      <c r="EF24" s="277"/>
      <c r="EG24" s="277"/>
      <c r="EH24" s="277"/>
      <c r="EI24" s="277"/>
      <c r="EJ24" s="277"/>
      <c r="EK24" s="277"/>
      <c r="EL24" s="277"/>
      <c r="EM24" s="11"/>
      <c r="EN24" s="11"/>
      <c r="EO24" s="11"/>
      <c r="EP24" s="11"/>
      <c r="EQ24" s="11"/>
      <c r="ER24" s="279"/>
      <c r="ES24" s="279"/>
      <c r="ET24" s="279"/>
      <c r="EU24" s="279"/>
      <c r="EV24" s="279"/>
      <c r="EW24" s="279"/>
      <c r="EX24" s="279"/>
      <c r="EY24" s="11"/>
      <c r="EZ24" s="273"/>
      <c r="FA24" s="273"/>
      <c r="FB24" s="273"/>
      <c r="FC24" s="273"/>
      <c r="FD24" s="273"/>
      <c r="FE24" s="273"/>
      <c r="FF24" s="273"/>
      <c r="FG24" s="273"/>
      <c r="FH24" s="273"/>
      <c r="FI24" s="273"/>
      <c r="FJ24" s="273"/>
      <c r="FK24" s="273"/>
    </row>
    <row r="25" spans="1:167" s="6" customFormat="1" ht="18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11"/>
      <c r="AT25" s="11"/>
      <c r="AU25" s="11"/>
      <c r="AV25" s="11"/>
      <c r="AW25" s="11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11"/>
      <c r="EK25" s="11"/>
      <c r="EL25" s="11"/>
      <c r="EM25" s="11"/>
      <c r="EN25" s="11"/>
      <c r="EO25" s="11"/>
      <c r="EP25" s="11"/>
      <c r="EQ25" s="11"/>
      <c r="ER25" s="279" t="s">
        <v>180</v>
      </c>
      <c r="ES25" s="279"/>
      <c r="ET25" s="279"/>
      <c r="EU25" s="279"/>
      <c r="EV25" s="279"/>
      <c r="EW25" s="279"/>
      <c r="EX25" s="279"/>
      <c r="EY25" s="11"/>
      <c r="EZ25" s="273" t="s">
        <v>195</v>
      </c>
      <c r="FA25" s="273"/>
      <c r="FB25" s="273"/>
      <c r="FC25" s="273"/>
      <c r="FD25" s="273"/>
      <c r="FE25" s="273"/>
      <c r="FF25" s="273"/>
      <c r="FG25" s="273"/>
      <c r="FH25" s="273"/>
      <c r="FI25" s="273"/>
      <c r="FJ25" s="273"/>
      <c r="FK25" s="273"/>
    </row>
    <row r="26" spans="1:167" s="6" customFormat="1" ht="8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11"/>
      <c r="AN26" s="22"/>
      <c r="AO26" s="18"/>
      <c r="AP26" s="22"/>
      <c r="AQ26" s="22"/>
      <c r="AR26" s="22"/>
      <c r="AS26" s="11"/>
      <c r="AT26" s="11"/>
      <c r="AU26" s="11"/>
      <c r="AV26" s="11"/>
      <c r="AW26" s="11"/>
      <c r="AX26" s="11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11"/>
      <c r="EK26" s="11"/>
      <c r="EL26" s="11"/>
      <c r="EM26" s="11"/>
      <c r="EN26" s="11"/>
      <c r="EO26" s="11"/>
      <c r="EP26" s="11"/>
      <c r="EQ26" s="11"/>
      <c r="ER26" s="279" t="s">
        <v>181</v>
      </c>
      <c r="ES26" s="279"/>
      <c r="ET26" s="279"/>
      <c r="EU26" s="279"/>
      <c r="EV26" s="279"/>
      <c r="EW26" s="279"/>
      <c r="EX26" s="279"/>
      <c r="EY26" s="11"/>
      <c r="EZ26" s="273" t="s">
        <v>196</v>
      </c>
      <c r="FA26" s="273"/>
      <c r="FB26" s="273"/>
      <c r="FC26" s="273"/>
      <c r="FD26" s="273"/>
      <c r="FE26" s="273"/>
      <c r="FF26" s="273"/>
      <c r="FG26" s="273"/>
      <c r="FH26" s="273"/>
      <c r="FI26" s="273"/>
      <c r="FJ26" s="273"/>
      <c r="FK26" s="273"/>
    </row>
    <row r="27" spans="1:167" s="6" customFormat="1" ht="11.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11"/>
      <c r="AT27" s="11"/>
      <c r="AU27" s="11"/>
      <c r="AV27" s="11"/>
      <c r="AW27" s="11"/>
      <c r="AX27" s="11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11"/>
      <c r="EK27" s="11"/>
      <c r="EL27" s="11"/>
      <c r="EM27" s="11"/>
      <c r="EN27" s="11"/>
      <c r="EO27" s="11"/>
      <c r="EP27" s="11"/>
      <c r="EQ27" s="11"/>
      <c r="ER27" s="279"/>
      <c r="ES27" s="279"/>
      <c r="ET27" s="279"/>
      <c r="EU27" s="279"/>
      <c r="EV27" s="279"/>
      <c r="EW27" s="279"/>
      <c r="EX27" s="279"/>
      <c r="EY27" s="11"/>
      <c r="EZ27" s="273"/>
      <c r="FA27" s="273"/>
      <c r="FB27" s="273"/>
      <c r="FC27" s="273"/>
      <c r="FD27" s="273"/>
      <c r="FE27" s="273"/>
      <c r="FF27" s="273"/>
      <c r="FG27" s="273"/>
      <c r="FH27" s="273"/>
      <c r="FI27" s="273"/>
      <c r="FJ27" s="273"/>
      <c r="FK27" s="273"/>
    </row>
    <row r="28" spans="1:167" s="6" customFormat="1" ht="17.5" customHeight="1" x14ac:dyDescent="0.25">
      <c r="A28" s="1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11"/>
      <c r="AG28" s="11"/>
      <c r="AH28" s="11"/>
      <c r="AI28" s="11"/>
      <c r="AJ28" s="11"/>
      <c r="AK28" s="11"/>
      <c r="AL28" s="11"/>
      <c r="AM28" s="11"/>
      <c r="AN28" s="11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11"/>
      <c r="EN28" s="11"/>
      <c r="EO28" s="11"/>
      <c r="EP28" s="11"/>
      <c r="EQ28" s="11"/>
      <c r="ER28" s="14"/>
      <c r="ES28" s="14"/>
      <c r="ET28" s="14"/>
      <c r="EU28" s="14"/>
      <c r="EV28" s="11"/>
      <c r="EW28" s="11"/>
      <c r="EX28" s="21" t="s">
        <v>182</v>
      </c>
      <c r="EY28" s="11"/>
      <c r="EZ28" s="273" t="s">
        <v>200</v>
      </c>
      <c r="FA28" s="273"/>
      <c r="FB28" s="273"/>
      <c r="FC28" s="273"/>
      <c r="FD28" s="273"/>
      <c r="FE28" s="273"/>
      <c r="FF28" s="273"/>
      <c r="FG28" s="273"/>
      <c r="FH28" s="273"/>
      <c r="FI28" s="273"/>
      <c r="FJ28" s="273"/>
      <c r="FK28" s="273"/>
    </row>
    <row r="29" spans="1:167" s="6" customFormat="1" ht="18" customHeight="1" x14ac:dyDescent="0.25">
      <c r="A29" s="11" t="s">
        <v>183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11"/>
      <c r="EN29" s="11"/>
      <c r="EO29" s="11"/>
      <c r="EP29" s="11"/>
      <c r="EQ29" s="11"/>
      <c r="ER29" s="14"/>
      <c r="ES29" s="14"/>
      <c r="ET29" s="14"/>
      <c r="EU29" s="14"/>
      <c r="EV29" s="11"/>
      <c r="EW29" s="11"/>
      <c r="EX29" s="14" t="s">
        <v>167</v>
      </c>
      <c r="EY29" s="11"/>
      <c r="EZ29" s="273" t="s">
        <v>184</v>
      </c>
      <c r="FA29" s="273"/>
      <c r="FB29" s="273"/>
      <c r="FC29" s="273"/>
      <c r="FD29" s="273"/>
      <c r="FE29" s="273"/>
      <c r="FF29" s="273"/>
      <c r="FG29" s="273"/>
      <c r="FH29" s="273"/>
      <c r="FI29" s="273"/>
      <c r="FJ29" s="273"/>
      <c r="FK29" s="273"/>
    </row>
    <row r="30" spans="1:167" s="6" customFormat="1" ht="17" customHeight="1" x14ac:dyDescent="0.25">
      <c r="A30" s="11" t="s">
        <v>169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277" t="s">
        <v>194</v>
      </c>
      <c r="AP30" s="277"/>
      <c r="AQ30" s="277"/>
      <c r="AR30" s="277"/>
      <c r="AS30" s="277"/>
      <c r="AT30" s="277"/>
      <c r="AU30" s="277"/>
      <c r="AV30" s="277"/>
      <c r="AW30" s="277"/>
      <c r="AX30" s="277"/>
      <c r="AY30" s="277"/>
      <c r="AZ30" s="277"/>
      <c r="BA30" s="277"/>
      <c r="BB30" s="277"/>
      <c r="BC30" s="277"/>
      <c r="BD30" s="277"/>
      <c r="BE30" s="277"/>
      <c r="BF30" s="277"/>
      <c r="BG30" s="277"/>
      <c r="BH30" s="277"/>
      <c r="BI30" s="277"/>
      <c r="BJ30" s="277"/>
      <c r="BK30" s="277"/>
      <c r="BL30" s="277"/>
      <c r="BM30" s="277"/>
      <c r="BN30" s="277"/>
      <c r="BO30" s="277"/>
      <c r="BP30" s="277"/>
      <c r="BQ30" s="277"/>
      <c r="BR30" s="277"/>
      <c r="BS30" s="277"/>
      <c r="BT30" s="277"/>
      <c r="BU30" s="277"/>
      <c r="BV30" s="277"/>
      <c r="BW30" s="277"/>
      <c r="BX30" s="277"/>
      <c r="BY30" s="277"/>
      <c r="BZ30" s="277"/>
      <c r="CA30" s="277"/>
      <c r="CB30" s="277"/>
      <c r="CC30" s="277"/>
      <c r="CD30" s="277"/>
      <c r="CE30" s="277"/>
      <c r="CF30" s="277"/>
      <c r="CG30" s="277"/>
      <c r="CH30" s="277"/>
      <c r="CI30" s="277"/>
      <c r="CJ30" s="277"/>
      <c r="CK30" s="277"/>
      <c r="CL30" s="277"/>
      <c r="CM30" s="277"/>
      <c r="CN30" s="277"/>
      <c r="CO30" s="277"/>
      <c r="CP30" s="277"/>
      <c r="CQ30" s="277"/>
      <c r="CR30" s="277"/>
      <c r="CS30" s="277"/>
      <c r="CT30" s="277"/>
      <c r="CU30" s="277"/>
      <c r="CV30" s="277"/>
      <c r="CW30" s="277"/>
      <c r="CX30" s="277"/>
      <c r="CY30" s="277"/>
      <c r="CZ30" s="277"/>
      <c r="DA30" s="277"/>
      <c r="DB30" s="277"/>
      <c r="DC30" s="277"/>
      <c r="DD30" s="277"/>
      <c r="DE30" s="277"/>
      <c r="DF30" s="277"/>
      <c r="DG30" s="277"/>
      <c r="DH30" s="277"/>
      <c r="DI30" s="277"/>
      <c r="DJ30" s="277"/>
      <c r="DK30" s="277"/>
      <c r="DL30" s="277"/>
      <c r="DM30" s="277"/>
      <c r="DN30" s="277"/>
      <c r="DO30" s="277"/>
      <c r="DP30" s="277"/>
      <c r="DQ30" s="277"/>
      <c r="DR30" s="277"/>
      <c r="DS30" s="277"/>
      <c r="DT30" s="277"/>
      <c r="DU30" s="277"/>
      <c r="DV30" s="277"/>
      <c r="DW30" s="277"/>
      <c r="DX30" s="277"/>
      <c r="DY30" s="277"/>
      <c r="DZ30" s="277"/>
      <c r="EA30" s="277"/>
      <c r="EB30" s="277"/>
      <c r="EC30" s="277"/>
      <c r="ED30" s="277"/>
      <c r="EE30" s="277"/>
      <c r="EF30" s="277"/>
      <c r="EG30" s="277"/>
      <c r="EH30" s="277"/>
      <c r="EI30" s="277"/>
      <c r="EJ30" s="277"/>
      <c r="EK30" s="277"/>
      <c r="EL30" s="277"/>
      <c r="EM30" s="11"/>
      <c r="EN30" s="11"/>
      <c r="EO30" s="11"/>
      <c r="EP30" s="11"/>
      <c r="EQ30" s="11"/>
      <c r="ER30" s="14"/>
      <c r="ES30" s="14"/>
      <c r="ET30" s="14"/>
      <c r="EU30" s="14"/>
      <c r="EV30" s="11"/>
      <c r="EW30" s="11"/>
      <c r="EX30" s="11"/>
      <c r="EY30" s="11"/>
      <c r="EZ30" s="273" t="s">
        <v>197</v>
      </c>
      <c r="FA30" s="273"/>
      <c r="FB30" s="273"/>
      <c r="FC30" s="273"/>
      <c r="FD30" s="273"/>
      <c r="FE30" s="273"/>
      <c r="FF30" s="273"/>
      <c r="FG30" s="273"/>
      <c r="FH30" s="273"/>
      <c r="FI30" s="273"/>
      <c r="FJ30" s="273"/>
      <c r="FK30" s="273"/>
    </row>
    <row r="31" spans="1:167" s="6" customFormat="1" ht="17.5" customHeight="1" x14ac:dyDescent="0.25">
      <c r="A31" s="11" t="s">
        <v>171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/>
      <c r="CA31" s="277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7"/>
      <c r="CP31" s="277"/>
      <c r="CQ31" s="277"/>
      <c r="CR31" s="277"/>
      <c r="CS31" s="277"/>
      <c r="CT31" s="277"/>
      <c r="CU31" s="277"/>
      <c r="CV31" s="277"/>
      <c r="CW31" s="277"/>
      <c r="CX31" s="277"/>
      <c r="CY31" s="277"/>
      <c r="CZ31" s="277"/>
      <c r="DA31" s="277"/>
      <c r="DB31" s="277"/>
      <c r="DC31" s="277"/>
      <c r="DD31" s="277"/>
      <c r="DE31" s="277"/>
      <c r="DF31" s="277"/>
      <c r="DG31" s="277"/>
      <c r="DH31" s="277"/>
      <c r="DI31" s="277"/>
      <c r="DJ31" s="277"/>
      <c r="DK31" s="277"/>
      <c r="DL31" s="277"/>
      <c r="DM31" s="277"/>
      <c r="DN31" s="277"/>
      <c r="DO31" s="277"/>
      <c r="DP31" s="277"/>
      <c r="DQ31" s="277"/>
      <c r="DR31" s="277"/>
      <c r="DS31" s="277"/>
      <c r="DT31" s="277"/>
      <c r="DU31" s="277"/>
      <c r="DV31" s="277"/>
      <c r="DW31" s="277"/>
      <c r="DX31" s="277"/>
      <c r="DY31" s="277"/>
      <c r="DZ31" s="277"/>
      <c r="EA31" s="277"/>
      <c r="EB31" s="277"/>
      <c r="EC31" s="277"/>
      <c r="ED31" s="277"/>
      <c r="EE31" s="277"/>
      <c r="EF31" s="277"/>
      <c r="EG31" s="277"/>
      <c r="EH31" s="277"/>
      <c r="EI31" s="277"/>
      <c r="EJ31" s="277"/>
      <c r="EK31" s="277"/>
      <c r="EL31" s="277"/>
      <c r="EM31" s="11"/>
      <c r="EN31" s="20"/>
      <c r="EO31" s="20"/>
      <c r="EP31" s="20"/>
      <c r="EQ31" s="20"/>
      <c r="ER31" s="21"/>
      <c r="ES31" s="21"/>
      <c r="ET31" s="21"/>
      <c r="EU31" s="21"/>
      <c r="EV31" s="11"/>
      <c r="EW31" s="20"/>
      <c r="EX31" s="14" t="s">
        <v>170</v>
      </c>
      <c r="EY31" s="11"/>
      <c r="EZ31" s="273"/>
      <c r="FA31" s="273"/>
      <c r="FB31" s="273"/>
      <c r="FC31" s="273"/>
      <c r="FD31" s="273"/>
      <c r="FE31" s="273"/>
      <c r="FF31" s="273"/>
      <c r="FG31" s="273"/>
      <c r="FH31" s="273"/>
      <c r="FI31" s="273"/>
      <c r="FJ31" s="273"/>
      <c r="FK31" s="273"/>
    </row>
    <row r="32" spans="1:167" s="6" customFormat="1" ht="10.55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11"/>
      <c r="EN32" s="20"/>
      <c r="EO32" s="20"/>
      <c r="EP32" s="20"/>
      <c r="EQ32" s="20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</row>
    <row r="33" spans="1:167" s="6" customFormat="1" ht="13.95" customHeight="1" x14ac:dyDescent="0.25">
      <c r="A33" s="92" t="s">
        <v>185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11"/>
      <c r="AO33" s="285" t="s">
        <v>199</v>
      </c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85"/>
      <c r="BJ33" s="285"/>
      <c r="BK33" s="285"/>
      <c r="BL33" s="285"/>
      <c r="BM33" s="285"/>
      <c r="BN33" s="285"/>
      <c r="BO33" s="285"/>
      <c r="BP33" s="285"/>
      <c r="BQ33" s="285"/>
      <c r="BR33" s="285"/>
      <c r="BS33" s="285"/>
      <c r="BT33" s="285"/>
      <c r="BU33" s="285"/>
      <c r="BV33" s="285"/>
      <c r="BW33" s="285"/>
      <c r="BX33" s="285"/>
      <c r="BY33" s="285"/>
      <c r="BZ33" s="285"/>
      <c r="CA33" s="285"/>
      <c r="CB33" s="285"/>
      <c r="CC33" s="285"/>
      <c r="CD33" s="285"/>
      <c r="CE33" s="285"/>
      <c r="CF33" s="285"/>
      <c r="CG33" s="285"/>
      <c r="CH33" s="285"/>
      <c r="CI33" s="285"/>
      <c r="CJ33" s="285"/>
      <c r="CK33" s="285"/>
      <c r="CL33" s="285"/>
      <c r="CM33" s="285"/>
      <c r="CN33" s="285"/>
      <c r="CO33" s="285"/>
      <c r="CP33" s="285"/>
      <c r="CQ33" s="285"/>
      <c r="CR33" s="285"/>
      <c r="CS33" s="285"/>
      <c r="CT33" s="285"/>
      <c r="CU33" s="285"/>
      <c r="CV33" s="285"/>
      <c r="CW33" s="285"/>
      <c r="CX33" s="285"/>
      <c r="CY33" s="285"/>
      <c r="CZ33" s="285"/>
      <c r="DA33" s="285"/>
      <c r="DB33" s="285"/>
      <c r="DC33" s="285"/>
      <c r="DD33" s="285"/>
      <c r="DE33" s="285"/>
      <c r="DF33" s="285"/>
      <c r="DG33" s="285"/>
      <c r="DH33" s="285"/>
      <c r="DI33" s="285"/>
      <c r="DJ33" s="285"/>
      <c r="DK33" s="285"/>
      <c r="DL33" s="285"/>
      <c r="DM33" s="285"/>
      <c r="DN33" s="285"/>
      <c r="DO33" s="285"/>
      <c r="DP33" s="285"/>
      <c r="DQ33" s="285"/>
      <c r="DR33" s="285"/>
      <c r="DS33" s="285"/>
      <c r="DT33" s="285"/>
      <c r="DU33" s="285"/>
      <c r="DV33" s="285"/>
      <c r="DW33" s="285"/>
      <c r="DX33" s="285"/>
      <c r="DY33" s="285"/>
      <c r="DZ33" s="285"/>
      <c r="EA33" s="285"/>
      <c r="EB33" s="285"/>
      <c r="EC33" s="285"/>
      <c r="ED33" s="285"/>
      <c r="EE33" s="285"/>
      <c r="EF33" s="285"/>
      <c r="EG33" s="285"/>
      <c r="EH33" s="285"/>
      <c r="EI33" s="285"/>
      <c r="EJ33" s="285"/>
      <c r="EK33" s="285"/>
      <c r="EL33" s="285"/>
      <c r="EM33" s="285"/>
      <c r="EN33" s="285"/>
      <c r="EO33" s="285"/>
      <c r="EP33" s="285"/>
      <c r="EQ33" s="285"/>
      <c r="ER33" s="285"/>
      <c r="ES33" s="285"/>
      <c r="ET33" s="285"/>
      <c r="EU33" s="285"/>
      <c r="EV33" s="285"/>
      <c r="EW33" s="285"/>
      <c r="EX33" s="285"/>
      <c r="EY33" s="285"/>
      <c r="EZ33" s="285"/>
      <c r="FA33" s="285"/>
      <c r="FB33" s="285"/>
      <c r="FC33" s="285"/>
      <c r="FD33" s="285"/>
      <c r="FE33" s="285"/>
      <c r="FF33" s="285"/>
      <c r="FG33" s="285"/>
      <c r="FH33" s="285"/>
      <c r="FI33" s="285"/>
      <c r="FJ33" s="285"/>
      <c r="FK33" s="285"/>
    </row>
    <row r="34" spans="1:167" s="6" customFormat="1" ht="10.55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0"/>
      <c r="CZ34" s="20"/>
      <c r="DA34" s="20"/>
      <c r="DB34" s="20"/>
      <c r="DC34" s="20"/>
      <c r="DD34" s="20"/>
      <c r="DE34" s="20"/>
      <c r="DF34" s="20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</row>
    <row r="35" spans="1:167" s="7" customFormat="1" ht="16.149999999999999" customHeight="1" x14ac:dyDescent="0.25">
      <c r="A35" s="140" t="s">
        <v>218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6"/>
      <c r="AU35" s="26"/>
      <c r="AV35" s="281" t="s">
        <v>201</v>
      </c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  <c r="BX35" s="281"/>
      <c r="BY35" s="281"/>
      <c r="BZ35" s="281"/>
      <c r="CA35" s="281"/>
      <c r="CB35" s="281"/>
      <c r="CC35" s="281"/>
      <c r="CD35" s="281"/>
      <c r="CE35" s="281"/>
      <c r="CF35" s="281"/>
      <c r="CG35" s="281"/>
      <c r="CH35" s="281"/>
      <c r="CI35" s="281"/>
      <c r="CJ35" s="281"/>
      <c r="CK35" s="281"/>
      <c r="CL35" s="281"/>
      <c r="CM35" s="281"/>
      <c r="CN35" s="281"/>
      <c r="CO35" s="281"/>
      <c r="CP35" s="281"/>
      <c r="CQ35" s="281"/>
      <c r="CR35" s="281"/>
      <c r="CS35" s="281"/>
      <c r="CT35" s="281"/>
      <c r="CU35" s="281"/>
      <c r="CV35" s="281"/>
      <c r="CW35" s="281"/>
      <c r="CX35" s="281"/>
      <c r="CY35" s="281"/>
      <c r="CZ35" s="281"/>
      <c r="DA35" s="281"/>
      <c r="DB35" s="281"/>
      <c r="DC35" s="281"/>
      <c r="DD35" s="281"/>
      <c r="DE35" s="281"/>
      <c r="DF35" s="281"/>
      <c r="DG35" s="281"/>
      <c r="DH35" s="281"/>
      <c r="DI35" s="281"/>
      <c r="DJ35" s="281"/>
      <c r="DK35" s="281"/>
      <c r="DL35" s="281"/>
      <c r="DM35" s="281"/>
      <c r="DN35" s="281"/>
      <c r="DO35" s="281"/>
      <c r="DP35" s="281"/>
      <c r="DQ35" s="281"/>
      <c r="DR35" s="281"/>
      <c r="DS35" s="281"/>
      <c r="DT35" s="281"/>
      <c r="DU35" s="281"/>
      <c r="DV35" s="281"/>
      <c r="DW35" s="281"/>
      <c r="DX35" s="281"/>
      <c r="DY35" s="281"/>
      <c r="DZ35" s="281"/>
      <c r="EA35" s="281"/>
      <c r="EB35" s="281"/>
      <c r="EC35" s="281"/>
      <c r="ED35" s="281"/>
      <c r="EE35" s="281"/>
      <c r="EF35" s="281"/>
      <c r="EG35" s="281"/>
      <c r="EH35" s="281"/>
      <c r="EI35" s="281"/>
      <c r="EJ35" s="281"/>
      <c r="EK35" s="281"/>
      <c r="EL35" s="281"/>
      <c r="EM35" s="281"/>
      <c r="EN35" s="281"/>
      <c r="EO35" s="281"/>
      <c r="EP35" s="281"/>
      <c r="EQ35" s="281"/>
      <c r="ER35" s="281"/>
      <c r="ES35" s="281"/>
      <c r="ET35" s="281"/>
      <c r="EU35" s="281"/>
      <c r="EV35" s="281"/>
      <c r="EW35" s="281"/>
      <c r="EX35" s="281"/>
      <c r="EY35" s="281"/>
      <c r="EZ35" s="281"/>
      <c r="FA35" s="281"/>
      <c r="FB35" s="281"/>
      <c r="FC35" s="281"/>
      <c r="FD35" s="281"/>
      <c r="FE35" s="281"/>
      <c r="FF35" s="281"/>
      <c r="FG35" s="281"/>
      <c r="FH35" s="281"/>
      <c r="FI35" s="281"/>
      <c r="FJ35" s="281"/>
      <c r="FK35" s="281"/>
    </row>
    <row r="36" spans="1:167" s="7" customFormat="1" ht="16.149999999999999" customHeight="1" x14ac:dyDescent="0.25">
      <c r="A36" s="92" t="s">
        <v>4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6"/>
      <c r="AU36" s="26"/>
      <c r="AV36" s="282"/>
      <c r="AW36" s="282"/>
      <c r="AX36" s="282"/>
      <c r="AY36" s="282"/>
      <c r="AZ36" s="282"/>
      <c r="BA36" s="282"/>
      <c r="BB36" s="282"/>
      <c r="BC36" s="282"/>
      <c r="BD36" s="282"/>
      <c r="BE36" s="282"/>
      <c r="BF36" s="282"/>
      <c r="BG36" s="282"/>
      <c r="BH36" s="282"/>
      <c r="BI36" s="282"/>
      <c r="BJ36" s="282"/>
      <c r="BK36" s="282"/>
      <c r="BL36" s="282"/>
      <c r="BM36" s="282"/>
      <c r="BN36" s="282"/>
      <c r="BO36" s="282"/>
      <c r="BP36" s="282"/>
      <c r="BQ36" s="282"/>
      <c r="BR36" s="282"/>
      <c r="BS36" s="282"/>
      <c r="BT36" s="282"/>
      <c r="BU36" s="282"/>
      <c r="BV36" s="282"/>
      <c r="BW36" s="282"/>
      <c r="BX36" s="282"/>
      <c r="BY36" s="282"/>
      <c r="BZ36" s="282"/>
      <c r="CA36" s="282"/>
      <c r="CB36" s="282"/>
      <c r="CC36" s="282"/>
      <c r="CD36" s="282"/>
      <c r="CE36" s="282"/>
      <c r="CF36" s="282"/>
      <c r="CG36" s="282"/>
      <c r="CH36" s="282"/>
      <c r="CI36" s="282"/>
      <c r="CJ36" s="282"/>
      <c r="CK36" s="282"/>
      <c r="CL36" s="282"/>
      <c r="CM36" s="282"/>
      <c r="CN36" s="282"/>
      <c r="CO36" s="282"/>
      <c r="CP36" s="282"/>
      <c r="CQ36" s="282"/>
      <c r="CR36" s="282"/>
      <c r="CS36" s="282"/>
      <c r="CT36" s="282"/>
      <c r="CU36" s="282"/>
      <c r="CV36" s="282"/>
      <c r="CW36" s="282"/>
      <c r="CX36" s="282"/>
      <c r="CY36" s="282"/>
      <c r="CZ36" s="282"/>
      <c r="DA36" s="282"/>
      <c r="DB36" s="282"/>
      <c r="DC36" s="282"/>
      <c r="DD36" s="282"/>
      <c r="DE36" s="282"/>
      <c r="DF36" s="282"/>
      <c r="DG36" s="282"/>
      <c r="DH36" s="282"/>
      <c r="DI36" s="282"/>
      <c r="DJ36" s="282"/>
      <c r="DK36" s="282"/>
      <c r="DL36" s="282"/>
      <c r="DM36" s="282"/>
      <c r="DN36" s="282"/>
      <c r="DO36" s="282"/>
      <c r="DP36" s="282"/>
      <c r="DQ36" s="282"/>
      <c r="DR36" s="282"/>
      <c r="DS36" s="282"/>
      <c r="DT36" s="282"/>
      <c r="DU36" s="282"/>
      <c r="DV36" s="282"/>
      <c r="DW36" s="282"/>
      <c r="DX36" s="282"/>
      <c r="DY36" s="282"/>
      <c r="DZ36" s="282"/>
      <c r="EA36" s="282"/>
      <c r="EB36" s="282"/>
      <c r="EC36" s="282"/>
      <c r="ED36" s="282"/>
      <c r="EE36" s="282"/>
      <c r="EF36" s="282"/>
      <c r="EG36" s="282"/>
      <c r="EH36" s="282"/>
      <c r="EI36" s="282"/>
      <c r="EJ36" s="282"/>
      <c r="EK36" s="282"/>
      <c r="EL36" s="282"/>
      <c r="EM36" s="282"/>
      <c r="EN36" s="282"/>
      <c r="EO36" s="282"/>
      <c r="EP36" s="282"/>
      <c r="EQ36" s="282"/>
      <c r="ER36" s="282"/>
      <c r="ES36" s="282"/>
      <c r="ET36" s="282"/>
      <c r="EU36" s="282"/>
      <c r="EV36" s="282"/>
      <c r="EW36" s="282"/>
      <c r="EX36" s="282"/>
      <c r="EY36" s="282"/>
      <c r="EZ36" s="282"/>
      <c r="FA36" s="282"/>
      <c r="FB36" s="282"/>
      <c r="FC36" s="282"/>
      <c r="FD36" s="282"/>
      <c r="FE36" s="282"/>
      <c r="FF36" s="282"/>
      <c r="FG36" s="282"/>
      <c r="FH36" s="282"/>
      <c r="FI36" s="282"/>
      <c r="FJ36" s="282"/>
      <c r="FK36" s="282"/>
    </row>
    <row r="37" spans="1:167" s="7" customFormat="1" ht="16.149999999999999" customHeight="1" x14ac:dyDescent="0.2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6"/>
      <c r="AU37" s="100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100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</row>
    <row r="38" spans="1:167" ht="13.95" customHeight="1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</row>
    <row r="39" spans="1:167" ht="13.95" customHeight="1" x14ac:dyDescent="0.25">
      <c r="A39" s="27" t="s">
        <v>186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86"/>
      <c r="DQ39" s="286"/>
      <c r="DR39" s="286"/>
      <c r="DS39" s="286"/>
      <c r="DT39" s="286"/>
      <c r="DU39" s="286"/>
      <c r="DV39" s="286"/>
      <c r="DW39" s="286"/>
      <c r="DX39" s="286"/>
      <c r="DY39" s="286"/>
      <c r="DZ39" s="286"/>
      <c r="EA39" s="286"/>
      <c r="EB39" s="286"/>
      <c r="EC39" s="286"/>
      <c r="ED39" s="286"/>
      <c r="EE39" s="286"/>
      <c r="EF39" s="286"/>
      <c r="EG39" s="286"/>
      <c r="EH39" s="286"/>
      <c r="EI39" s="286"/>
      <c r="EJ39" s="286"/>
      <c r="EK39" s="286"/>
      <c r="EL39" s="286"/>
      <c r="EM39" s="286"/>
      <c r="EN39" s="286"/>
      <c r="EO39" s="286"/>
      <c r="EP39" s="286"/>
      <c r="EQ39" s="286"/>
      <c r="ER39" s="286"/>
      <c r="ES39" s="286"/>
      <c r="ET39" s="286"/>
      <c r="EU39" s="286"/>
      <c r="EV39" s="286"/>
      <c r="EW39" s="286"/>
      <c r="EX39" s="286"/>
      <c r="EY39" s="286"/>
      <c r="EZ39" s="286"/>
      <c r="FA39" s="286"/>
      <c r="FB39" s="286"/>
      <c r="FC39" s="286"/>
      <c r="FD39" s="286"/>
      <c r="FE39" s="286"/>
      <c r="FF39" s="286"/>
      <c r="FG39" s="286"/>
      <c r="FH39" s="286"/>
      <c r="FI39" s="286"/>
      <c r="FJ39" s="286"/>
      <c r="FK39" s="286"/>
    </row>
    <row r="40" spans="1:167" ht="13.9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</row>
    <row r="41" spans="1:167" ht="13.95" customHeight="1" x14ac:dyDescent="0.25">
      <c r="A41" s="287" t="s">
        <v>2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  <c r="BE41" s="287"/>
      <c r="BF41" s="287"/>
      <c r="BG41" s="287"/>
      <c r="BH41" s="287"/>
      <c r="BI41" s="287"/>
      <c r="BJ41" s="287"/>
      <c r="BK41" s="287"/>
      <c r="BL41" s="287"/>
      <c r="BM41" s="287"/>
      <c r="BN41" s="287"/>
      <c r="BO41" s="287"/>
      <c r="BP41" s="287"/>
      <c r="BQ41" s="287"/>
      <c r="BR41" s="287"/>
      <c r="BS41" s="287"/>
      <c r="BT41" s="287"/>
      <c r="BU41" s="287"/>
      <c r="BV41" s="287"/>
      <c r="BW41" s="287"/>
      <c r="BX41" s="287"/>
      <c r="BY41" s="287"/>
      <c r="BZ41" s="287"/>
      <c r="CA41" s="287"/>
      <c r="CB41" s="287"/>
      <c r="CC41" s="287"/>
      <c r="CD41" s="287"/>
      <c r="CE41" s="287"/>
      <c r="CF41" s="287"/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7"/>
      <c r="DO41" s="287"/>
      <c r="DP41" s="287"/>
      <c r="DQ41" s="287"/>
      <c r="DR41" s="287"/>
      <c r="DS41" s="287"/>
      <c r="DT41" s="287"/>
      <c r="DU41" s="287"/>
      <c r="DV41" s="287"/>
      <c r="DW41" s="287"/>
      <c r="DX41" s="287"/>
      <c r="DY41" s="287"/>
      <c r="DZ41" s="287"/>
      <c r="EA41" s="287"/>
      <c r="EB41" s="287"/>
      <c r="EC41" s="287"/>
      <c r="ED41" s="287"/>
      <c r="EE41" s="287"/>
      <c r="EF41" s="287"/>
      <c r="EG41" s="287"/>
      <c r="EH41" s="287"/>
      <c r="EI41" s="287"/>
      <c r="EJ41" s="287"/>
      <c r="EK41" s="287"/>
      <c r="EL41" s="287"/>
      <c r="EM41" s="287"/>
      <c r="EN41" s="287"/>
      <c r="EO41" s="287"/>
      <c r="EP41" s="287"/>
      <c r="EQ41" s="287"/>
      <c r="ER41" s="287"/>
      <c r="ES41" s="287"/>
      <c r="ET41" s="287"/>
      <c r="EU41" s="287"/>
      <c r="EV41" s="287"/>
      <c r="EW41" s="287"/>
      <c r="EX41" s="287"/>
      <c r="EY41" s="287"/>
      <c r="EZ41" s="287"/>
      <c r="FA41" s="287"/>
      <c r="FB41" s="287"/>
      <c r="FC41" s="287"/>
      <c r="FD41" s="287"/>
      <c r="FE41" s="287"/>
      <c r="FF41" s="287"/>
      <c r="FG41" s="287"/>
      <c r="FH41" s="287"/>
      <c r="FI41" s="287"/>
      <c r="FJ41" s="287"/>
      <c r="FK41" s="287"/>
    </row>
    <row r="42" spans="1:167" ht="13.95" customHeigh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</row>
    <row r="43" spans="1:167" ht="33.799999999999997" customHeight="1" x14ac:dyDescent="0.25">
      <c r="A43" s="101" t="s">
        <v>187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284" t="s">
        <v>202</v>
      </c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  <c r="DN43" s="284"/>
      <c r="DO43" s="284"/>
      <c r="DP43" s="284"/>
      <c r="DQ43" s="284"/>
      <c r="DR43" s="284"/>
      <c r="DS43" s="284"/>
      <c r="DT43" s="284"/>
      <c r="DU43" s="284"/>
      <c r="DV43" s="284"/>
      <c r="DW43" s="284"/>
      <c r="DX43" s="284"/>
      <c r="DY43" s="284"/>
      <c r="DZ43" s="284"/>
      <c r="EA43" s="284"/>
      <c r="EB43" s="284"/>
      <c r="EC43" s="284"/>
      <c r="ED43" s="284"/>
      <c r="EE43" s="284"/>
      <c r="EF43" s="284"/>
      <c r="EG43" s="284"/>
      <c r="EH43" s="284"/>
      <c r="EI43" s="284"/>
      <c r="EJ43" s="284"/>
      <c r="EK43" s="284"/>
      <c r="EL43" s="284"/>
      <c r="EM43" s="284"/>
      <c r="EN43" s="284"/>
      <c r="EO43" s="284"/>
      <c r="EP43" s="284"/>
      <c r="EQ43" s="284"/>
      <c r="ER43" s="284"/>
      <c r="ES43" s="284"/>
      <c r="ET43" s="284"/>
      <c r="EU43" s="284"/>
      <c r="EV43" s="284"/>
      <c r="EW43" s="284"/>
      <c r="EX43" s="284"/>
      <c r="EY43" s="284"/>
      <c r="EZ43" s="284"/>
      <c r="FA43" s="284"/>
      <c r="FB43" s="284"/>
      <c r="FC43" s="284"/>
      <c r="FD43" s="284"/>
      <c r="FE43" s="284"/>
      <c r="FF43" s="284"/>
      <c r="FG43" s="284"/>
      <c r="FH43" s="284"/>
      <c r="FI43" s="284"/>
      <c r="FJ43" s="284"/>
      <c r="FK43" s="284"/>
    </row>
    <row r="44" spans="1:167" ht="13.95" customHeight="1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</row>
    <row r="45" spans="1:167" ht="52.5" customHeight="1" x14ac:dyDescent="0.25">
      <c r="A45" s="101" t="s">
        <v>188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27"/>
      <c r="AT45" s="27"/>
      <c r="AU45" s="27"/>
      <c r="AV45" s="27"/>
      <c r="AW45" s="284" t="s">
        <v>203</v>
      </c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  <c r="DN45" s="284"/>
      <c r="DO45" s="284"/>
      <c r="DP45" s="284"/>
      <c r="DQ45" s="284"/>
      <c r="DR45" s="284"/>
      <c r="DS45" s="284"/>
      <c r="DT45" s="284"/>
      <c r="DU45" s="284"/>
      <c r="DV45" s="284"/>
      <c r="DW45" s="284"/>
      <c r="DX45" s="284"/>
      <c r="DY45" s="284"/>
      <c r="DZ45" s="284"/>
      <c r="EA45" s="284"/>
      <c r="EB45" s="284"/>
      <c r="EC45" s="284"/>
      <c r="ED45" s="284"/>
      <c r="EE45" s="284"/>
      <c r="EF45" s="284"/>
      <c r="EG45" s="284"/>
      <c r="EH45" s="284"/>
      <c r="EI45" s="284"/>
      <c r="EJ45" s="284"/>
      <c r="EK45" s="284"/>
      <c r="EL45" s="284"/>
      <c r="EM45" s="284"/>
      <c r="EN45" s="284"/>
      <c r="EO45" s="284"/>
      <c r="EP45" s="284"/>
      <c r="EQ45" s="284"/>
      <c r="ER45" s="284"/>
      <c r="ES45" s="284"/>
      <c r="ET45" s="284"/>
      <c r="EU45" s="284"/>
      <c r="EV45" s="284"/>
      <c r="EW45" s="284"/>
      <c r="EX45" s="284"/>
      <c r="EY45" s="284"/>
      <c r="EZ45" s="284"/>
      <c r="FA45" s="284"/>
      <c r="FB45" s="284"/>
      <c r="FC45" s="284"/>
      <c r="FD45" s="284"/>
      <c r="FE45" s="284"/>
      <c r="FF45" s="284"/>
      <c r="FG45" s="284"/>
      <c r="FH45" s="284"/>
      <c r="FI45" s="284"/>
      <c r="FJ45" s="284"/>
      <c r="FK45" s="284"/>
    </row>
    <row r="46" spans="1:167" ht="13.95" customHeigh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</row>
    <row r="47" spans="1:167" ht="30.1" customHeight="1" x14ac:dyDescent="0.25">
      <c r="A47" s="280" t="s">
        <v>189</v>
      </c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  <c r="BB47" s="280"/>
      <c r="BC47" s="280"/>
      <c r="BD47" s="280"/>
      <c r="BE47" s="280"/>
      <c r="BF47" s="280"/>
      <c r="BG47" s="280"/>
      <c r="BH47" s="280"/>
      <c r="BI47" s="280"/>
      <c r="BJ47" s="280"/>
      <c r="BK47" s="280"/>
      <c r="BL47" s="280"/>
      <c r="BM47" s="280"/>
      <c r="BN47" s="280"/>
      <c r="BO47" s="280"/>
      <c r="BP47" s="280"/>
      <c r="BQ47" s="280"/>
      <c r="BR47" s="280"/>
      <c r="BS47" s="280"/>
      <c r="BT47" s="280"/>
      <c r="BU47" s="283" t="s">
        <v>404</v>
      </c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  <c r="EO47" s="283"/>
      <c r="EP47" s="283"/>
      <c r="EQ47" s="283"/>
      <c r="ER47" s="283"/>
      <c r="ES47" s="283"/>
      <c r="ET47" s="283"/>
      <c r="EU47" s="283"/>
      <c r="EV47" s="283"/>
      <c r="EW47" s="283"/>
      <c r="EX47" s="283"/>
      <c r="EY47" s="283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</row>
    <row r="48" spans="1:167" ht="13.95" customHeight="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</row>
  </sheetData>
  <mergeCells count="53">
    <mergeCell ref="A47:BT47"/>
    <mergeCell ref="AV35:FK36"/>
    <mergeCell ref="BU47:FK47"/>
    <mergeCell ref="AW45:FK45"/>
    <mergeCell ref="AO33:FK33"/>
    <mergeCell ref="DV39:EA39"/>
    <mergeCell ref="EB39:EG39"/>
    <mergeCell ref="EH39:EM39"/>
    <mergeCell ref="EN39:ES39"/>
    <mergeCell ref="ET39:EY39"/>
    <mergeCell ref="EZ39:FE39"/>
    <mergeCell ref="FF39:FK39"/>
    <mergeCell ref="DP39:DU39"/>
    <mergeCell ref="A41:FK41"/>
    <mergeCell ref="AV43:FK43"/>
    <mergeCell ref="AO30:EL30"/>
    <mergeCell ref="EZ30:FK31"/>
    <mergeCell ref="AO31:EL31"/>
    <mergeCell ref="AO23:EL24"/>
    <mergeCell ref="EZ23:FK24"/>
    <mergeCell ref="EZ28:FK28"/>
    <mergeCell ref="ER26:EX27"/>
    <mergeCell ref="ER23:EX24"/>
    <mergeCell ref="ER25:EX25"/>
    <mergeCell ref="EZ25:FK25"/>
    <mergeCell ref="EZ26:FK27"/>
    <mergeCell ref="EZ29:FK29"/>
    <mergeCell ref="EZ22:FK22"/>
    <mergeCell ref="B19:EX19"/>
    <mergeCell ref="EZ20:FK20"/>
    <mergeCell ref="EZ21:FK21"/>
    <mergeCell ref="AR22:AV22"/>
    <mergeCell ref="AW22:AX22"/>
    <mergeCell ref="AY22:BU22"/>
    <mergeCell ref="BV22:BY22"/>
    <mergeCell ref="BZ22:CB22"/>
    <mergeCell ref="CC22:CE22"/>
    <mergeCell ref="B20:EX20"/>
    <mergeCell ref="BP15:CK15"/>
    <mergeCell ref="DY15:FK15"/>
    <mergeCell ref="BQ16:BU16"/>
    <mergeCell ref="BV16:BW16"/>
    <mergeCell ref="BX16:CT16"/>
    <mergeCell ref="CU16:CX16"/>
    <mergeCell ref="CY16:DA16"/>
    <mergeCell ref="DB16:DD16"/>
    <mergeCell ref="BP9:FK9"/>
    <mergeCell ref="BP10:FK10"/>
    <mergeCell ref="BP11:FK11"/>
    <mergeCell ref="BP13:FK13"/>
    <mergeCell ref="BP14:CK14"/>
    <mergeCell ref="DY14:FK14"/>
    <mergeCell ref="BR12:FJ12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Y196"/>
  <sheetViews>
    <sheetView view="pageBreakPreview" topLeftCell="G25" zoomScale="80" zoomScaleNormal="80" zoomScaleSheetLayoutView="80" workbookViewId="0">
      <selection activeCell="F18" sqref="F18:G18"/>
    </sheetView>
  </sheetViews>
  <sheetFormatPr defaultRowHeight="14.3" x14ac:dyDescent="0.25"/>
  <cols>
    <col min="2" max="2" width="7.875" customWidth="1"/>
    <col min="3" max="3" width="47.75" customWidth="1"/>
    <col min="4" max="4" width="18.375" customWidth="1"/>
    <col min="5" max="5" width="19.875" customWidth="1"/>
    <col min="6" max="6" width="15.875" customWidth="1"/>
    <col min="7" max="7" width="17.125" customWidth="1"/>
    <col min="8" max="8" width="14.375" customWidth="1"/>
    <col min="10" max="10" width="15.875" customWidth="1"/>
    <col min="12" max="12" width="13.625" customWidth="1"/>
    <col min="13" max="13" width="14.75" customWidth="1"/>
    <col min="14" max="14" width="23" customWidth="1"/>
    <col min="15" max="15" width="15" customWidth="1"/>
    <col min="16" max="16" width="16.375" customWidth="1"/>
    <col min="17" max="17" width="24.125" customWidth="1"/>
    <col min="18" max="18" width="25.125" customWidth="1"/>
  </cols>
  <sheetData>
    <row r="2" spans="2:17" x14ac:dyDescent="0.25">
      <c r="B2" s="329" t="s">
        <v>225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247"/>
      <c r="P2" s="247"/>
    </row>
    <row r="3" spans="2:17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7" x14ac:dyDescent="0.25">
      <c r="B4" s="329" t="s">
        <v>226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10"/>
      <c r="O4" s="10"/>
      <c r="P4" s="10"/>
    </row>
    <row r="5" spans="2:17" x14ac:dyDescent="0.25">
      <c r="B5" s="328" t="s">
        <v>373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10"/>
      <c r="O5" s="10"/>
      <c r="P5" s="10"/>
    </row>
    <row r="6" spans="2:17" x14ac:dyDescent="0.25">
      <c r="B6" s="328" t="s">
        <v>372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10"/>
      <c r="O6" s="10"/>
      <c r="P6" s="10"/>
    </row>
    <row r="7" spans="2:17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17" x14ac:dyDescent="0.25">
      <c r="B8" s="202"/>
      <c r="C8" s="202"/>
      <c r="D8" s="202"/>
      <c r="E8" s="329" t="s">
        <v>227</v>
      </c>
      <c r="F8" s="329"/>
      <c r="G8" s="329"/>
      <c r="H8" s="329"/>
      <c r="I8" s="329"/>
      <c r="J8" s="329"/>
      <c r="K8" s="329"/>
      <c r="L8" s="329"/>
      <c r="M8" s="202"/>
      <c r="N8" s="10"/>
      <c r="O8" s="10"/>
      <c r="P8" s="10"/>
    </row>
    <row r="9" spans="2:17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2:17" x14ac:dyDescent="0.25">
      <c r="B10" s="307" t="s">
        <v>228</v>
      </c>
      <c r="C10" s="307" t="s">
        <v>229</v>
      </c>
      <c r="D10" s="307" t="s">
        <v>230</v>
      </c>
      <c r="E10" s="307" t="s">
        <v>231</v>
      </c>
      <c r="F10" s="307"/>
      <c r="G10" s="307"/>
      <c r="H10" s="307"/>
      <c r="I10" s="307"/>
      <c r="J10" s="307"/>
      <c r="K10" s="307"/>
      <c r="L10" s="307" t="s">
        <v>232</v>
      </c>
      <c r="M10" s="307" t="s">
        <v>233</v>
      </c>
      <c r="N10" s="307" t="s">
        <v>234</v>
      </c>
      <c r="O10" s="307" t="s">
        <v>235</v>
      </c>
      <c r="P10" s="307" t="s">
        <v>236</v>
      </c>
    </row>
    <row r="11" spans="2:17" x14ac:dyDescent="0.25">
      <c r="B11" s="307"/>
      <c r="C11" s="307"/>
      <c r="D11" s="307"/>
      <c r="E11" s="353" t="s">
        <v>55</v>
      </c>
      <c r="F11" s="354" t="s">
        <v>12</v>
      </c>
      <c r="G11" s="355"/>
      <c r="H11" s="355"/>
      <c r="I11" s="355"/>
      <c r="J11" s="355"/>
      <c r="K11" s="356"/>
      <c r="L11" s="307"/>
      <c r="M11" s="307"/>
      <c r="N11" s="307"/>
      <c r="O11" s="307"/>
      <c r="P11" s="307"/>
    </row>
    <row r="12" spans="2:17" ht="59.3" customHeight="1" x14ac:dyDescent="0.25">
      <c r="B12" s="307"/>
      <c r="C12" s="307"/>
      <c r="D12" s="307"/>
      <c r="E12" s="353"/>
      <c r="F12" s="307" t="s">
        <v>237</v>
      </c>
      <c r="G12" s="307"/>
      <c r="H12" s="307" t="s">
        <v>238</v>
      </c>
      <c r="I12" s="307"/>
      <c r="J12" s="307" t="s">
        <v>239</v>
      </c>
      <c r="K12" s="307"/>
      <c r="L12" s="307"/>
      <c r="M12" s="307"/>
      <c r="N12" s="307"/>
      <c r="O12" s="307"/>
      <c r="P12" s="307"/>
    </row>
    <row r="13" spans="2:17" x14ac:dyDescent="0.25">
      <c r="B13" s="155">
        <v>1</v>
      </c>
      <c r="C13" s="155">
        <v>2</v>
      </c>
      <c r="D13" s="155">
        <v>3</v>
      </c>
      <c r="E13" s="155">
        <v>4</v>
      </c>
      <c r="F13" s="308">
        <v>5</v>
      </c>
      <c r="G13" s="310"/>
      <c r="H13" s="308">
        <v>6</v>
      </c>
      <c r="I13" s="310"/>
      <c r="J13" s="308">
        <v>7</v>
      </c>
      <c r="K13" s="310"/>
      <c r="L13" s="155">
        <v>8</v>
      </c>
      <c r="M13" s="155">
        <v>9</v>
      </c>
      <c r="N13" s="155">
        <v>10</v>
      </c>
      <c r="O13" s="155">
        <v>11</v>
      </c>
      <c r="P13" s="155">
        <v>12</v>
      </c>
      <c r="Q13" s="130"/>
    </row>
    <row r="14" spans="2:17" x14ac:dyDescent="0.25">
      <c r="B14" s="155">
        <v>1</v>
      </c>
      <c r="C14" s="257" t="s">
        <v>207</v>
      </c>
      <c r="D14" s="257">
        <v>1</v>
      </c>
      <c r="E14" s="260">
        <f>F14+H14+J14</f>
        <v>27771.120000000003</v>
      </c>
      <c r="F14" s="357">
        <f>14040+2106</f>
        <v>16146</v>
      </c>
      <c r="G14" s="358"/>
      <c r="H14" s="359"/>
      <c r="I14" s="359"/>
      <c r="J14" s="357">
        <v>11625.12</v>
      </c>
      <c r="K14" s="358"/>
      <c r="L14" s="260"/>
      <c r="M14" s="260">
        <v>2.2999999999999998</v>
      </c>
      <c r="N14" s="260">
        <f>(D14*E14*(1+L14/100)*M14*12)</f>
        <v>766482.91200000001</v>
      </c>
      <c r="O14" s="260">
        <f>F14*2.3</f>
        <v>37135.799999999996</v>
      </c>
      <c r="P14" s="260">
        <f>N14+O14</f>
        <v>803618.71200000006</v>
      </c>
      <c r="Q14" s="161"/>
    </row>
    <row r="15" spans="2:17" x14ac:dyDescent="0.25">
      <c r="B15" s="155">
        <f>B14+1</f>
        <v>2</v>
      </c>
      <c r="C15" s="257" t="s">
        <v>240</v>
      </c>
      <c r="D15" s="257">
        <v>1</v>
      </c>
      <c r="E15" s="260">
        <f t="shared" ref="E15:E49" si="0">F15+H15+J15</f>
        <v>25247.040000000001</v>
      </c>
      <c r="F15" s="357">
        <v>10608</v>
      </c>
      <c r="G15" s="358"/>
      <c r="H15" s="359"/>
      <c r="I15" s="359"/>
      <c r="J15" s="357">
        <v>14639.04</v>
      </c>
      <c r="K15" s="358"/>
      <c r="L15" s="260"/>
      <c r="M15" s="260">
        <v>2.2999999999999998</v>
      </c>
      <c r="N15" s="260">
        <f t="shared" ref="N15:N49" si="1">(D15*E15*(1+L15/100)*M15*12)</f>
        <v>696818.304</v>
      </c>
      <c r="O15" s="260">
        <f>F15*2.3</f>
        <v>24398.399999999998</v>
      </c>
      <c r="P15" s="260">
        <f t="shared" ref="P15:P49" si="2">N15+O15</f>
        <v>721216.70400000003</v>
      </c>
      <c r="Q15" s="161"/>
    </row>
    <row r="16" spans="2:17" x14ac:dyDescent="0.25">
      <c r="B16" s="155">
        <f t="shared" ref="B16:B49" si="3">B15+1</f>
        <v>3</v>
      </c>
      <c r="C16" s="257" t="s">
        <v>241</v>
      </c>
      <c r="D16" s="257">
        <v>1</v>
      </c>
      <c r="E16" s="260">
        <f t="shared" si="0"/>
        <v>17472</v>
      </c>
      <c r="F16" s="357">
        <v>10920</v>
      </c>
      <c r="G16" s="358"/>
      <c r="H16" s="359"/>
      <c r="I16" s="359"/>
      <c r="J16" s="357">
        <v>6552</v>
      </c>
      <c r="K16" s="358"/>
      <c r="L16" s="260"/>
      <c r="M16" s="260">
        <v>2.2999999999999998</v>
      </c>
      <c r="N16" s="260">
        <f t="shared" si="1"/>
        <v>482227.19999999995</v>
      </c>
      <c r="O16" s="260">
        <f>F16*2.3</f>
        <v>25115.999999999996</v>
      </c>
      <c r="P16" s="260">
        <f t="shared" si="2"/>
        <v>507343.19999999995</v>
      </c>
      <c r="Q16" s="161"/>
    </row>
    <row r="17" spans="2:17" x14ac:dyDescent="0.25">
      <c r="B17" s="155">
        <f t="shared" si="3"/>
        <v>4</v>
      </c>
      <c r="C17" s="257" t="s">
        <v>242</v>
      </c>
      <c r="D17" s="257">
        <v>3</v>
      </c>
      <c r="E17" s="260">
        <f t="shared" si="0"/>
        <v>15622</v>
      </c>
      <c r="F17" s="360">
        <v>7300</v>
      </c>
      <c r="G17" s="361"/>
      <c r="H17" s="359"/>
      <c r="I17" s="359"/>
      <c r="J17" s="360">
        <v>8322</v>
      </c>
      <c r="K17" s="361"/>
      <c r="L17" s="260"/>
      <c r="M17" s="260">
        <v>2.2999999999999998</v>
      </c>
      <c r="N17" s="260">
        <f>(D17*E17*(1+L17/100)*M17*12)</f>
        <v>1293501.5999999999</v>
      </c>
      <c r="O17" s="260">
        <f>F17*D17</f>
        <v>21900</v>
      </c>
      <c r="P17" s="260">
        <f>N17+O17</f>
        <v>1315401.5999999999</v>
      </c>
      <c r="Q17" s="161"/>
    </row>
    <row r="18" spans="2:17" x14ac:dyDescent="0.25">
      <c r="B18" s="155">
        <f t="shared" si="3"/>
        <v>5</v>
      </c>
      <c r="C18" s="257" t="s">
        <v>243</v>
      </c>
      <c r="D18" s="257">
        <v>7</v>
      </c>
      <c r="E18" s="260">
        <f t="shared" si="0"/>
        <v>16185.79</v>
      </c>
      <c r="F18" s="360">
        <f>7100+1065+1420</f>
        <v>9585</v>
      </c>
      <c r="G18" s="361"/>
      <c r="H18" s="362"/>
      <c r="I18" s="363"/>
      <c r="J18" s="360">
        <f>6517.02+83.77</f>
        <v>6600.7900000000009</v>
      </c>
      <c r="K18" s="361"/>
      <c r="L18" s="260"/>
      <c r="M18" s="260">
        <v>2.2999999999999998</v>
      </c>
      <c r="N18" s="260">
        <f t="shared" ref="N18:N19" si="4">(D18*E18*(1+L18/100)*M18*12)</f>
        <v>3127094.6279999996</v>
      </c>
      <c r="O18" s="260">
        <f t="shared" ref="O18:O19" si="5">F18*D18</f>
        <v>67095</v>
      </c>
      <c r="P18" s="260">
        <f t="shared" ref="P18:P19" si="6">N18+O18</f>
        <v>3194189.6279999996</v>
      </c>
      <c r="Q18" s="161"/>
    </row>
    <row r="19" spans="2:17" x14ac:dyDescent="0.25">
      <c r="B19" s="155">
        <f t="shared" si="3"/>
        <v>6</v>
      </c>
      <c r="C19" s="257" t="s">
        <v>243</v>
      </c>
      <c r="D19" s="257">
        <v>23</v>
      </c>
      <c r="E19" s="260">
        <f t="shared" si="0"/>
        <v>14482.560000000001</v>
      </c>
      <c r="F19" s="360">
        <f>7100+710+1420</f>
        <v>9230</v>
      </c>
      <c r="G19" s="361"/>
      <c r="H19" s="362"/>
      <c r="I19" s="363"/>
      <c r="J19" s="360">
        <f>5168.8+83.76</f>
        <v>5252.56</v>
      </c>
      <c r="K19" s="361"/>
      <c r="L19" s="260"/>
      <c r="M19" s="260">
        <v>2.2999999999999998</v>
      </c>
      <c r="N19" s="260">
        <f t="shared" si="4"/>
        <v>9193529.0879999995</v>
      </c>
      <c r="O19" s="260">
        <f t="shared" si="5"/>
        <v>212290</v>
      </c>
      <c r="P19" s="260">
        <f t="shared" si="6"/>
        <v>9405819.0879999995</v>
      </c>
      <c r="Q19" s="161"/>
    </row>
    <row r="20" spans="2:17" x14ac:dyDescent="0.25">
      <c r="B20" s="155">
        <f t="shared" si="3"/>
        <v>7</v>
      </c>
      <c r="C20" s="257" t="s">
        <v>243</v>
      </c>
      <c r="D20" s="257">
        <v>14</v>
      </c>
      <c r="E20" s="260">
        <f t="shared" si="0"/>
        <v>12964.470000000001</v>
      </c>
      <c r="F20" s="360">
        <f>7100+1420</f>
        <v>8520</v>
      </c>
      <c r="G20" s="361"/>
      <c r="H20" s="359"/>
      <c r="I20" s="359"/>
      <c r="J20" s="360">
        <f>4360.7+83.77</f>
        <v>4444.47</v>
      </c>
      <c r="K20" s="361"/>
      <c r="L20" s="260"/>
      <c r="M20" s="260">
        <v>2.2999999999999998</v>
      </c>
      <c r="N20" s="260">
        <f t="shared" si="1"/>
        <v>5009471.2080000006</v>
      </c>
      <c r="O20" s="260">
        <f>F20*D20</f>
        <v>119280</v>
      </c>
      <c r="P20" s="260">
        <f t="shared" si="2"/>
        <v>5128751.2080000006</v>
      </c>
      <c r="Q20" s="161"/>
    </row>
    <row r="21" spans="2:17" x14ac:dyDescent="0.25">
      <c r="B21" s="155">
        <f t="shared" si="3"/>
        <v>8</v>
      </c>
      <c r="C21" s="257" t="s">
        <v>244</v>
      </c>
      <c r="D21" s="257">
        <v>1</v>
      </c>
      <c r="E21" s="260">
        <f t="shared" si="0"/>
        <v>16753.5</v>
      </c>
      <c r="F21" s="360">
        <f>7300+1095+1460</f>
        <v>9855</v>
      </c>
      <c r="G21" s="361"/>
      <c r="H21" s="359"/>
      <c r="I21" s="359"/>
      <c r="J21" s="360">
        <v>6898.5</v>
      </c>
      <c r="K21" s="361"/>
      <c r="L21" s="260"/>
      <c r="M21" s="260">
        <v>2.2999999999999998</v>
      </c>
      <c r="N21" s="260">
        <f t="shared" si="1"/>
        <v>462396.6</v>
      </c>
      <c r="O21" s="260">
        <f>F21*D21</f>
        <v>9855</v>
      </c>
      <c r="P21" s="260">
        <f t="shared" si="2"/>
        <v>472251.6</v>
      </c>
      <c r="Q21" s="161"/>
    </row>
    <row r="22" spans="2:17" x14ac:dyDescent="0.25">
      <c r="B22" s="155">
        <f t="shared" si="3"/>
        <v>9</v>
      </c>
      <c r="C22" s="261" t="s">
        <v>244</v>
      </c>
      <c r="D22" s="257">
        <v>1</v>
      </c>
      <c r="E22" s="260">
        <f t="shared" si="0"/>
        <v>17082</v>
      </c>
      <c r="F22" s="360">
        <f>7300+730+1460</f>
        <v>9490</v>
      </c>
      <c r="G22" s="361"/>
      <c r="H22" s="362"/>
      <c r="I22" s="363"/>
      <c r="J22" s="360">
        <v>7592</v>
      </c>
      <c r="K22" s="361"/>
      <c r="L22" s="260"/>
      <c r="M22" s="260">
        <v>2.2999999999999998</v>
      </c>
      <c r="N22" s="260">
        <f t="shared" si="1"/>
        <v>471463.19999999995</v>
      </c>
      <c r="O22" s="260">
        <f t="shared" ref="O22:O32" si="7">F22*D22</f>
        <v>9490</v>
      </c>
      <c r="P22" s="260">
        <f t="shared" si="2"/>
        <v>480953.19999999995</v>
      </c>
      <c r="Q22" s="161"/>
    </row>
    <row r="23" spans="2:17" x14ac:dyDescent="0.25">
      <c r="B23" s="155">
        <f t="shared" si="3"/>
        <v>10</v>
      </c>
      <c r="C23" s="261" t="s">
        <v>244</v>
      </c>
      <c r="D23" s="257">
        <v>1</v>
      </c>
      <c r="E23" s="260">
        <f t="shared" si="0"/>
        <v>13067</v>
      </c>
      <c r="F23" s="360">
        <f>7300</f>
        <v>7300</v>
      </c>
      <c r="G23" s="361"/>
      <c r="H23" s="362"/>
      <c r="I23" s="363"/>
      <c r="J23" s="360">
        <v>5767</v>
      </c>
      <c r="K23" s="361"/>
      <c r="L23" s="260"/>
      <c r="M23" s="260">
        <v>2.2999999999999998</v>
      </c>
      <c r="N23" s="260">
        <f t="shared" si="1"/>
        <v>360649.19999999995</v>
      </c>
      <c r="O23" s="260">
        <f t="shared" si="7"/>
        <v>7300</v>
      </c>
      <c r="P23" s="260">
        <f t="shared" si="2"/>
        <v>367949.19999999995</v>
      </c>
      <c r="Q23" s="161"/>
    </row>
    <row r="24" spans="2:17" x14ac:dyDescent="0.25">
      <c r="B24" s="155">
        <f t="shared" si="3"/>
        <v>11</v>
      </c>
      <c r="C24" s="257" t="s">
        <v>245</v>
      </c>
      <c r="D24" s="257">
        <v>1</v>
      </c>
      <c r="E24" s="260">
        <f>F24+H24+J24</f>
        <v>15184</v>
      </c>
      <c r="F24" s="360">
        <f>7300+730+1460</f>
        <v>9490</v>
      </c>
      <c r="G24" s="361"/>
      <c r="H24" s="359"/>
      <c r="I24" s="359"/>
      <c r="J24" s="360">
        <v>5694</v>
      </c>
      <c r="K24" s="361"/>
      <c r="L24" s="260"/>
      <c r="M24" s="260">
        <v>2.2999999999999998</v>
      </c>
      <c r="N24" s="260">
        <f t="shared" si="1"/>
        <v>419078.39999999997</v>
      </c>
      <c r="O24" s="260">
        <f t="shared" si="7"/>
        <v>9490</v>
      </c>
      <c r="P24" s="260">
        <f t="shared" si="2"/>
        <v>428568.39999999997</v>
      </c>
      <c r="Q24" s="161"/>
    </row>
    <row r="25" spans="2:17" x14ac:dyDescent="0.25">
      <c r="B25" s="155">
        <f t="shared" si="3"/>
        <v>12</v>
      </c>
      <c r="C25" s="261" t="s">
        <v>245</v>
      </c>
      <c r="D25" s="257">
        <v>1</v>
      </c>
      <c r="E25" s="260">
        <f>F25+H25+J25</f>
        <v>14892</v>
      </c>
      <c r="F25" s="360">
        <f>7300+1460+1752</f>
        <v>10512</v>
      </c>
      <c r="G25" s="361"/>
      <c r="H25" s="359"/>
      <c r="I25" s="359"/>
      <c r="J25" s="360">
        <v>4380</v>
      </c>
      <c r="K25" s="361"/>
      <c r="L25" s="260"/>
      <c r="M25" s="260">
        <v>2.2999999999999998</v>
      </c>
      <c r="N25" s="260">
        <f t="shared" si="1"/>
        <v>411019.19999999995</v>
      </c>
      <c r="O25" s="260">
        <f>F25*D25</f>
        <v>10512</v>
      </c>
      <c r="P25" s="260">
        <f t="shared" si="2"/>
        <v>421531.19999999995</v>
      </c>
      <c r="Q25" s="161"/>
    </row>
    <row r="26" spans="2:17" x14ac:dyDescent="0.25">
      <c r="B26" s="155">
        <f t="shared" si="3"/>
        <v>13</v>
      </c>
      <c r="C26" s="257" t="s">
        <v>246</v>
      </c>
      <c r="D26" s="257">
        <v>1</v>
      </c>
      <c r="E26" s="260">
        <f t="shared" si="0"/>
        <v>16294.5</v>
      </c>
      <c r="F26" s="360">
        <f>7100+1065+1420</f>
        <v>9585</v>
      </c>
      <c r="G26" s="361"/>
      <c r="H26" s="359"/>
      <c r="I26" s="359"/>
      <c r="J26" s="360">
        <v>6709.5</v>
      </c>
      <c r="K26" s="361"/>
      <c r="L26" s="260"/>
      <c r="M26" s="260">
        <v>2.2999999999999998</v>
      </c>
      <c r="N26" s="260">
        <f t="shared" si="1"/>
        <v>449728.19999999995</v>
      </c>
      <c r="O26" s="260">
        <f t="shared" si="7"/>
        <v>9585</v>
      </c>
      <c r="P26" s="260">
        <f t="shared" si="2"/>
        <v>459313.19999999995</v>
      </c>
      <c r="Q26" s="161"/>
    </row>
    <row r="27" spans="2:17" x14ac:dyDescent="0.25">
      <c r="B27" s="155">
        <f t="shared" si="3"/>
        <v>14</v>
      </c>
      <c r="C27" s="261" t="s">
        <v>246</v>
      </c>
      <c r="D27" s="257">
        <v>1</v>
      </c>
      <c r="E27" s="260">
        <f t="shared" si="0"/>
        <v>14768</v>
      </c>
      <c r="F27" s="360">
        <f>7100+710+1420</f>
        <v>9230</v>
      </c>
      <c r="G27" s="361"/>
      <c r="H27" s="359"/>
      <c r="I27" s="359"/>
      <c r="J27" s="360">
        <v>5538</v>
      </c>
      <c r="K27" s="361"/>
      <c r="L27" s="260"/>
      <c r="M27" s="260">
        <v>2.2999999999999998</v>
      </c>
      <c r="N27" s="260">
        <f t="shared" si="1"/>
        <v>407596.79999999993</v>
      </c>
      <c r="O27" s="260">
        <f t="shared" si="7"/>
        <v>9230</v>
      </c>
      <c r="P27" s="260">
        <f t="shared" si="2"/>
        <v>416826.79999999993</v>
      </c>
      <c r="Q27" s="161"/>
    </row>
    <row r="28" spans="2:17" x14ac:dyDescent="0.25">
      <c r="B28" s="155">
        <f t="shared" si="3"/>
        <v>15</v>
      </c>
      <c r="C28" s="257" t="s">
        <v>247</v>
      </c>
      <c r="D28" s="257">
        <v>2</v>
      </c>
      <c r="E28" s="260">
        <f t="shared" si="0"/>
        <v>14928.1</v>
      </c>
      <c r="F28" s="360">
        <f>6620+662</f>
        <v>7282</v>
      </c>
      <c r="G28" s="361"/>
      <c r="H28" s="359"/>
      <c r="I28" s="359"/>
      <c r="J28" s="360">
        <v>7646.1</v>
      </c>
      <c r="K28" s="361"/>
      <c r="L28" s="260"/>
      <c r="M28" s="260">
        <v>2.2999999999999998</v>
      </c>
      <c r="N28" s="260">
        <f t="shared" si="1"/>
        <v>824031.11999999988</v>
      </c>
      <c r="O28" s="260">
        <f t="shared" si="7"/>
        <v>14564</v>
      </c>
      <c r="P28" s="260">
        <f t="shared" si="2"/>
        <v>838595.11999999988</v>
      </c>
      <c r="Q28" s="161"/>
    </row>
    <row r="29" spans="2:17" x14ac:dyDescent="0.25">
      <c r="B29" s="155">
        <f t="shared" si="3"/>
        <v>16</v>
      </c>
      <c r="C29" s="261" t="s">
        <v>247</v>
      </c>
      <c r="D29" s="257">
        <v>2</v>
      </c>
      <c r="E29" s="260">
        <f t="shared" si="0"/>
        <v>12909</v>
      </c>
      <c r="F29" s="360">
        <v>6620</v>
      </c>
      <c r="G29" s="361"/>
      <c r="H29" s="359"/>
      <c r="I29" s="359"/>
      <c r="J29" s="360">
        <v>6289</v>
      </c>
      <c r="K29" s="361"/>
      <c r="L29" s="260"/>
      <c r="M29" s="260">
        <v>2.2999999999999998</v>
      </c>
      <c r="N29" s="260">
        <f t="shared" si="1"/>
        <v>712576.79999999993</v>
      </c>
      <c r="O29" s="260">
        <f t="shared" si="7"/>
        <v>13240</v>
      </c>
      <c r="P29" s="260">
        <f t="shared" si="2"/>
        <v>725816.79999999993</v>
      </c>
      <c r="Q29" s="161"/>
    </row>
    <row r="30" spans="2:17" x14ac:dyDescent="0.25">
      <c r="B30" s="155">
        <f t="shared" si="3"/>
        <v>17</v>
      </c>
      <c r="C30" s="257" t="s">
        <v>248</v>
      </c>
      <c r="D30" s="257">
        <v>1</v>
      </c>
      <c r="E30" s="260">
        <f t="shared" si="0"/>
        <v>12578</v>
      </c>
      <c r="F30" s="360">
        <v>6620</v>
      </c>
      <c r="G30" s="361"/>
      <c r="H30" s="359"/>
      <c r="I30" s="359"/>
      <c r="J30" s="360">
        <v>5958</v>
      </c>
      <c r="K30" s="361"/>
      <c r="L30" s="260"/>
      <c r="M30" s="260">
        <v>2.2999999999999998</v>
      </c>
      <c r="N30" s="260">
        <f t="shared" si="1"/>
        <v>347152.8</v>
      </c>
      <c r="O30" s="260">
        <f t="shared" si="7"/>
        <v>6620</v>
      </c>
      <c r="P30" s="260">
        <f t="shared" si="2"/>
        <v>353772.79999999999</v>
      </c>
      <c r="Q30" s="161"/>
    </row>
    <row r="31" spans="2:17" x14ac:dyDescent="0.25">
      <c r="B31" s="155">
        <f t="shared" si="3"/>
        <v>18</v>
      </c>
      <c r="C31" s="257" t="s">
        <v>249</v>
      </c>
      <c r="D31" s="257">
        <v>1</v>
      </c>
      <c r="E31" s="260">
        <f>F31+H31+J31</f>
        <v>13835.8</v>
      </c>
      <c r="F31" s="360">
        <f>6620+662</f>
        <v>7282</v>
      </c>
      <c r="G31" s="361"/>
      <c r="H31" s="359"/>
      <c r="I31" s="359"/>
      <c r="J31" s="360">
        <v>6553.8</v>
      </c>
      <c r="K31" s="361"/>
      <c r="L31" s="260"/>
      <c r="M31" s="260">
        <v>2.2999999999999998</v>
      </c>
      <c r="N31" s="260">
        <f t="shared" si="1"/>
        <v>381868.07999999996</v>
      </c>
      <c r="O31" s="260">
        <f t="shared" si="7"/>
        <v>7282</v>
      </c>
      <c r="P31" s="260">
        <f t="shared" si="2"/>
        <v>389150.07999999996</v>
      </c>
      <c r="Q31" s="161"/>
    </row>
    <row r="32" spans="2:17" ht="14.95" customHeight="1" x14ac:dyDescent="0.25">
      <c r="B32" s="155">
        <f t="shared" si="3"/>
        <v>19</v>
      </c>
      <c r="C32" s="262" t="s">
        <v>250</v>
      </c>
      <c r="D32" s="257">
        <v>1</v>
      </c>
      <c r="E32" s="260">
        <f t="shared" si="0"/>
        <v>13835.8</v>
      </c>
      <c r="F32" s="360">
        <f>6620+662</f>
        <v>7282</v>
      </c>
      <c r="G32" s="361"/>
      <c r="H32" s="359"/>
      <c r="I32" s="359"/>
      <c r="J32" s="360">
        <v>6553.8</v>
      </c>
      <c r="K32" s="361"/>
      <c r="L32" s="260"/>
      <c r="M32" s="260">
        <v>2.2999999999999998</v>
      </c>
      <c r="N32" s="260">
        <f t="shared" si="1"/>
        <v>381868.07999999996</v>
      </c>
      <c r="O32" s="260">
        <f t="shared" si="7"/>
        <v>7282</v>
      </c>
      <c r="P32" s="260">
        <f t="shared" si="2"/>
        <v>389150.07999999996</v>
      </c>
      <c r="Q32" s="161"/>
    </row>
    <row r="33" spans="2:17" x14ac:dyDescent="0.25">
      <c r="B33" s="155">
        <f t="shared" si="3"/>
        <v>20</v>
      </c>
      <c r="C33" s="257" t="s">
        <v>251</v>
      </c>
      <c r="D33" s="258">
        <v>25.5</v>
      </c>
      <c r="E33" s="260">
        <f t="shared" si="0"/>
        <v>11163</v>
      </c>
      <c r="F33" s="357">
        <v>4056</v>
      </c>
      <c r="G33" s="358"/>
      <c r="H33" s="359"/>
      <c r="I33" s="359"/>
      <c r="J33" s="360">
        <v>7107</v>
      </c>
      <c r="K33" s="361"/>
      <c r="L33" s="260"/>
      <c r="M33" s="260">
        <v>2.2999999999999998</v>
      </c>
      <c r="N33" s="260">
        <f t="shared" si="1"/>
        <v>7856519.3999999994</v>
      </c>
      <c r="O33" s="260"/>
      <c r="P33" s="260">
        <f t="shared" si="2"/>
        <v>7856519.3999999994</v>
      </c>
      <c r="Q33" s="161"/>
    </row>
    <row r="34" spans="2:17" x14ac:dyDescent="0.25">
      <c r="B34" s="155">
        <f t="shared" si="3"/>
        <v>21</v>
      </c>
      <c r="C34" s="257" t="s">
        <v>252</v>
      </c>
      <c r="D34" s="257">
        <v>1</v>
      </c>
      <c r="E34" s="260">
        <f t="shared" si="0"/>
        <v>15120</v>
      </c>
      <c r="F34" s="360">
        <v>5600</v>
      </c>
      <c r="G34" s="361"/>
      <c r="H34" s="359"/>
      <c r="I34" s="359"/>
      <c r="J34" s="360">
        <v>9520</v>
      </c>
      <c r="K34" s="361"/>
      <c r="L34" s="260"/>
      <c r="M34" s="260">
        <v>2.2999999999999998</v>
      </c>
      <c r="N34" s="260">
        <f t="shared" si="1"/>
        <v>417312</v>
      </c>
      <c r="O34" s="260">
        <f>F34*D34</f>
        <v>5600</v>
      </c>
      <c r="P34" s="260">
        <f t="shared" si="2"/>
        <v>422912</v>
      </c>
      <c r="Q34" s="161"/>
    </row>
    <row r="35" spans="2:17" x14ac:dyDescent="0.25">
      <c r="B35" s="155">
        <f t="shared" si="3"/>
        <v>22</v>
      </c>
      <c r="C35" s="257" t="s">
        <v>253</v>
      </c>
      <c r="D35" s="257">
        <v>3</v>
      </c>
      <c r="E35" s="260">
        <f t="shared" si="0"/>
        <v>13537.5</v>
      </c>
      <c r="F35" s="360">
        <v>4750</v>
      </c>
      <c r="G35" s="361"/>
      <c r="H35" s="359"/>
      <c r="I35" s="359"/>
      <c r="J35" s="360">
        <v>8787.5</v>
      </c>
      <c r="K35" s="361"/>
      <c r="L35" s="260"/>
      <c r="M35" s="260">
        <v>2.2999999999999998</v>
      </c>
      <c r="N35" s="260">
        <f t="shared" si="1"/>
        <v>1120905</v>
      </c>
      <c r="O35" s="260">
        <f>F35*D35</f>
        <v>14250</v>
      </c>
      <c r="P35" s="260">
        <f t="shared" si="2"/>
        <v>1135155</v>
      </c>
      <c r="Q35" s="161"/>
    </row>
    <row r="36" spans="2:17" x14ac:dyDescent="0.25">
      <c r="B36" s="155">
        <f t="shared" si="3"/>
        <v>23</v>
      </c>
      <c r="C36" s="156" t="s">
        <v>254</v>
      </c>
      <c r="D36" s="156">
        <v>1</v>
      </c>
      <c r="E36" s="157">
        <f t="shared" si="0"/>
        <v>11163</v>
      </c>
      <c r="F36" s="345">
        <v>4202</v>
      </c>
      <c r="G36" s="346"/>
      <c r="H36" s="351"/>
      <c r="I36" s="351"/>
      <c r="J36" s="349">
        <v>6961</v>
      </c>
      <c r="K36" s="350"/>
      <c r="L36" s="160"/>
      <c r="M36" s="160">
        <v>2.2999999999999998</v>
      </c>
      <c r="N36" s="160">
        <f t="shared" si="1"/>
        <v>308098.8</v>
      </c>
      <c r="O36" s="160"/>
      <c r="P36" s="160">
        <f t="shared" si="2"/>
        <v>308098.8</v>
      </c>
      <c r="Q36" s="161"/>
    </row>
    <row r="37" spans="2:17" x14ac:dyDescent="0.25">
      <c r="B37" s="155">
        <f t="shared" si="3"/>
        <v>24</v>
      </c>
      <c r="C37" s="156" t="s">
        <v>255</v>
      </c>
      <c r="D37" s="156">
        <v>1</v>
      </c>
      <c r="E37" s="157">
        <f t="shared" si="0"/>
        <v>13655.2</v>
      </c>
      <c r="F37" s="345">
        <v>5252</v>
      </c>
      <c r="G37" s="346"/>
      <c r="H37" s="347"/>
      <c r="I37" s="348"/>
      <c r="J37" s="349">
        <v>8403.2000000000007</v>
      </c>
      <c r="K37" s="350"/>
      <c r="L37" s="160"/>
      <c r="M37" s="160">
        <v>2.2999999999999998</v>
      </c>
      <c r="N37" s="160">
        <f t="shared" si="1"/>
        <v>376883.52</v>
      </c>
      <c r="O37" s="160"/>
      <c r="P37" s="160">
        <f t="shared" si="2"/>
        <v>376883.52</v>
      </c>
      <c r="Q37" s="161"/>
    </row>
    <row r="38" spans="2:17" x14ac:dyDescent="0.25">
      <c r="B38" s="155">
        <f t="shared" si="3"/>
        <v>25</v>
      </c>
      <c r="C38" s="156" t="s">
        <v>256</v>
      </c>
      <c r="D38" s="156">
        <v>1</v>
      </c>
      <c r="E38" s="157">
        <f t="shared" si="0"/>
        <v>11163.439999999999</v>
      </c>
      <c r="F38" s="345">
        <v>5252</v>
      </c>
      <c r="G38" s="346"/>
      <c r="H38" s="347"/>
      <c r="I38" s="348"/>
      <c r="J38" s="349">
        <v>5911.44</v>
      </c>
      <c r="K38" s="350"/>
      <c r="L38" s="160"/>
      <c r="M38" s="160">
        <v>2.2999999999999998</v>
      </c>
      <c r="N38" s="160">
        <f t="shared" si="1"/>
        <v>308110.94399999996</v>
      </c>
      <c r="O38" s="160"/>
      <c r="P38" s="160">
        <f t="shared" si="2"/>
        <v>308110.94399999996</v>
      </c>
      <c r="Q38" s="161"/>
    </row>
    <row r="39" spans="2:17" x14ac:dyDescent="0.25">
      <c r="B39" s="155">
        <f t="shared" si="3"/>
        <v>26</v>
      </c>
      <c r="C39" s="156" t="s">
        <v>257</v>
      </c>
      <c r="D39" s="156">
        <v>7</v>
      </c>
      <c r="E39" s="157">
        <f t="shared" si="0"/>
        <v>11163.01</v>
      </c>
      <c r="F39" s="345">
        <v>4254</v>
      </c>
      <c r="G39" s="346"/>
      <c r="H39" s="347"/>
      <c r="I39" s="348"/>
      <c r="J39" s="349">
        <v>6909.01</v>
      </c>
      <c r="K39" s="350"/>
      <c r="L39" s="160"/>
      <c r="M39" s="160">
        <v>2.2999999999999998</v>
      </c>
      <c r="N39" s="160">
        <f t="shared" si="1"/>
        <v>2156693.5320000001</v>
      </c>
      <c r="O39" s="160"/>
      <c r="P39" s="160">
        <f t="shared" si="2"/>
        <v>2156693.5320000001</v>
      </c>
      <c r="Q39" s="161"/>
    </row>
    <row r="40" spans="2:17" x14ac:dyDescent="0.25">
      <c r="B40" s="155">
        <f t="shared" si="3"/>
        <v>27</v>
      </c>
      <c r="C40" s="156" t="s">
        <v>258</v>
      </c>
      <c r="D40" s="156">
        <v>4</v>
      </c>
      <c r="E40" s="157">
        <f t="shared" si="0"/>
        <v>11163</v>
      </c>
      <c r="F40" s="345">
        <v>3942</v>
      </c>
      <c r="G40" s="346"/>
      <c r="H40" s="347"/>
      <c r="I40" s="348"/>
      <c r="J40" s="349">
        <v>7221</v>
      </c>
      <c r="K40" s="350"/>
      <c r="L40" s="160"/>
      <c r="M40" s="160">
        <v>2.2999999999999998</v>
      </c>
      <c r="N40" s="160">
        <f t="shared" si="1"/>
        <v>1232395.2</v>
      </c>
      <c r="O40" s="160"/>
      <c r="P40" s="160">
        <f t="shared" si="2"/>
        <v>1232395.2</v>
      </c>
      <c r="Q40" s="161"/>
    </row>
    <row r="41" spans="2:17" x14ac:dyDescent="0.25">
      <c r="B41" s="155">
        <f t="shared" si="3"/>
        <v>28</v>
      </c>
      <c r="C41" s="156" t="s">
        <v>259</v>
      </c>
      <c r="D41" s="156">
        <v>3</v>
      </c>
      <c r="E41" s="157">
        <f t="shared" si="0"/>
        <v>11163</v>
      </c>
      <c r="F41" s="345">
        <v>3942</v>
      </c>
      <c r="G41" s="346"/>
      <c r="H41" s="347"/>
      <c r="I41" s="348"/>
      <c r="J41" s="349">
        <v>7221</v>
      </c>
      <c r="K41" s="350"/>
      <c r="L41" s="160"/>
      <c r="M41" s="160">
        <v>2.2999999999999998</v>
      </c>
      <c r="N41" s="160">
        <f t="shared" si="1"/>
        <v>924296.39999999991</v>
      </c>
      <c r="O41" s="160"/>
      <c r="P41" s="160">
        <f t="shared" si="2"/>
        <v>924296.39999999991</v>
      </c>
      <c r="Q41" s="161"/>
    </row>
    <row r="42" spans="2:17" ht="31.6" customHeight="1" x14ac:dyDescent="0.25">
      <c r="B42" s="155">
        <f t="shared" si="3"/>
        <v>29</v>
      </c>
      <c r="C42" s="162" t="s">
        <v>260</v>
      </c>
      <c r="D42" s="156">
        <v>2</v>
      </c>
      <c r="E42" s="157">
        <f t="shared" si="0"/>
        <v>11163.01</v>
      </c>
      <c r="F42" s="345">
        <v>4254</v>
      </c>
      <c r="G42" s="346"/>
      <c r="H42" s="347"/>
      <c r="I42" s="348"/>
      <c r="J42" s="349">
        <v>6909.01</v>
      </c>
      <c r="K42" s="350"/>
      <c r="L42" s="160"/>
      <c r="M42" s="160">
        <v>2.2999999999999998</v>
      </c>
      <c r="N42" s="160">
        <f t="shared" si="1"/>
        <v>616198.152</v>
      </c>
      <c r="O42" s="160"/>
      <c r="P42" s="160">
        <f t="shared" si="2"/>
        <v>616198.152</v>
      </c>
      <c r="Q42" s="161"/>
    </row>
    <row r="43" spans="2:17" x14ac:dyDescent="0.25">
      <c r="B43" s="155">
        <f t="shared" si="3"/>
        <v>30</v>
      </c>
      <c r="C43" s="156" t="s">
        <v>261</v>
      </c>
      <c r="D43" s="156">
        <v>4</v>
      </c>
      <c r="E43" s="157">
        <f t="shared" si="0"/>
        <v>11163</v>
      </c>
      <c r="F43" s="345">
        <v>3942</v>
      </c>
      <c r="G43" s="346"/>
      <c r="H43" s="347"/>
      <c r="I43" s="348"/>
      <c r="J43" s="349">
        <v>7221</v>
      </c>
      <c r="K43" s="350"/>
      <c r="L43" s="160"/>
      <c r="M43" s="160">
        <v>2.2999999999999998</v>
      </c>
      <c r="N43" s="160">
        <f t="shared" si="1"/>
        <v>1232395.2</v>
      </c>
      <c r="O43" s="160"/>
      <c r="P43" s="160">
        <f t="shared" si="2"/>
        <v>1232395.2</v>
      </c>
      <c r="Q43" s="161"/>
    </row>
    <row r="44" spans="2:17" x14ac:dyDescent="0.25">
      <c r="B44" s="155">
        <f t="shared" si="3"/>
        <v>31</v>
      </c>
      <c r="C44" s="156" t="s">
        <v>262</v>
      </c>
      <c r="D44" s="156">
        <v>2</v>
      </c>
      <c r="E44" s="157">
        <f t="shared" si="0"/>
        <v>11163</v>
      </c>
      <c r="F44" s="345">
        <v>3942</v>
      </c>
      <c r="G44" s="346"/>
      <c r="H44" s="347"/>
      <c r="I44" s="348"/>
      <c r="J44" s="349">
        <v>7221</v>
      </c>
      <c r="K44" s="350"/>
      <c r="L44" s="160"/>
      <c r="M44" s="160">
        <v>2.2999999999999998</v>
      </c>
      <c r="N44" s="160">
        <f t="shared" si="1"/>
        <v>616197.6</v>
      </c>
      <c r="O44" s="160"/>
      <c r="P44" s="160">
        <f t="shared" si="2"/>
        <v>616197.6</v>
      </c>
      <c r="Q44" s="161"/>
    </row>
    <row r="45" spans="2:17" x14ac:dyDescent="0.25">
      <c r="B45" s="155">
        <f t="shared" si="3"/>
        <v>32</v>
      </c>
      <c r="C45" s="156" t="s">
        <v>263</v>
      </c>
      <c r="D45" s="156">
        <v>5.75</v>
      </c>
      <c r="E45" s="157">
        <f t="shared" si="0"/>
        <v>11163</v>
      </c>
      <c r="F45" s="345">
        <v>3942</v>
      </c>
      <c r="G45" s="346"/>
      <c r="H45" s="347"/>
      <c r="I45" s="348"/>
      <c r="J45" s="349">
        <v>7221</v>
      </c>
      <c r="K45" s="350"/>
      <c r="L45" s="160"/>
      <c r="M45" s="160">
        <v>2.2999999999999998</v>
      </c>
      <c r="N45" s="160">
        <f t="shared" si="1"/>
        <v>1771568.0999999999</v>
      </c>
      <c r="O45" s="160"/>
      <c r="P45" s="160">
        <f t="shared" si="2"/>
        <v>1771568.0999999999</v>
      </c>
      <c r="Q45" s="161"/>
    </row>
    <row r="46" spans="2:17" x14ac:dyDescent="0.25">
      <c r="B46" s="155">
        <f t="shared" si="3"/>
        <v>33</v>
      </c>
      <c r="C46" s="156" t="s">
        <v>264</v>
      </c>
      <c r="D46" s="156">
        <v>5</v>
      </c>
      <c r="E46" s="157">
        <f t="shared" si="0"/>
        <v>11163</v>
      </c>
      <c r="F46" s="345">
        <v>3942</v>
      </c>
      <c r="G46" s="346"/>
      <c r="H46" s="347"/>
      <c r="I46" s="348"/>
      <c r="J46" s="349">
        <v>7221</v>
      </c>
      <c r="K46" s="350"/>
      <c r="L46" s="160"/>
      <c r="M46" s="160">
        <v>2.2999999999999998</v>
      </c>
      <c r="N46" s="160">
        <f t="shared" si="1"/>
        <v>1540493.9999999998</v>
      </c>
      <c r="O46" s="160"/>
      <c r="P46" s="160">
        <f t="shared" si="2"/>
        <v>1540493.9999999998</v>
      </c>
      <c r="Q46" s="161"/>
    </row>
    <row r="47" spans="2:17" x14ac:dyDescent="0.25">
      <c r="B47" s="155">
        <f t="shared" si="3"/>
        <v>34</v>
      </c>
      <c r="C47" s="156" t="s">
        <v>265</v>
      </c>
      <c r="D47" s="156">
        <v>2.5</v>
      </c>
      <c r="E47" s="157">
        <f t="shared" si="0"/>
        <v>11163</v>
      </c>
      <c r="F47" s="345">
        <v>3942</v>
      </c>
      <c r="G47" s="346"/>
      <c r="H47" s="347"/>
      <c r="I47" s="348"/>
      <c r="J47" s="349">
        <v>7221</v>
      </c>
      <c r="K47" s="350"/>
      <c r="L47" s="160"/>
      <c r="M47" s="160">
        <v>2.2999999999999998</v>
      </c>
      <c r="N47" s="160">
        <f t="shared" si="1"/>
        <v>770246.99999999988</v>
      </c>
      <c r="O47" s="160"/>
      <c r="P47" s="160">
        <f t="shared" si="2"/>
        <v>770246.99999999988</v>
      </c>
      <c r="Q47" s="161"/>
    </row>
    <row r="48" spans="2:17" x14ac:dyDescent="0.25">
      <c r="B48" s="155">
        <f t="shared" si="3"/>
        <v>35</v>
      </c>
      <c r="C48" s="156" t="s">
        <v>266</v>
      </c>
      <c r="D48" s="156">
        <v>0.5</v>
      </c>
      <c r="E48" s="157">
        <f t="shared" si="0"/>
        <v>11163</v>
      </c>
      <c r="F48" s="345">
        <v>3942</v>
      </c>
      <c r="G48" s="346"/>
      <c r="H48" s="347"/>
      <c r="I48" s="348"/>
      <c r="J48" s="349">
        <v>7221</v>
      </c>
      <c r="K48" s="350"/>
      <c r="L48" s="160"/>
      <c r="M48" s="160">
        <v>2.2999999999999998</v>
      </c>
      <c r="N48" s="160">
        <f t="shared" si="1"/>
        <v>154049.4</v>
      </c>
      <c r="O48" s="160"/>
      <c r="P48" s="160">
        <f t="shared" si="2"/>
        <v>154049.4</v>
      </c>
      <c r="Q48" s="161"/>
    </row>
    <row r="49" spans="2:18" x14ac:dyDescent="0.25">
      <c r="B49" s="155">
        <f t="shared" si="3"/>
        <v>36</v>
      </c>
      <c r="C49" s="156" t="s">
        <v>267</v>
      </c>
      <c r="D49" s="156">
        <v>0.1</v>
      </c>
      <c r="E49" s="157">
        <f t="shared" si="0"/>
        <v>7084</v>
      </c>
      <c r="F49" s="345">
        <v>7084</v>
      </c>
      <c r="G49" s="346"/>
      <c r="H49" s="347"/>
      <c r="I49" s="348"/>
      <c r="J49" s="345"/>
      <c r="K49" s="346"/>
      <c r="L49" s="157"/>
      <c r="M49" s="157">
        <v>2.2999999999999998</v>
      </c>
      <c r="N49" s="157">
        <f t="shared" si="1"/>
        <v>19551.840000000004</v>
      </c>
      <c r="O49" s="157"/>
      <c r="P49" s="157">
        <f t="shared" si="2"/>
        <v>19551.840000000004</v>
      </c>
      <c r="Q49" s="161"/>
    </row>
    <row r="50" spans="2:18" x14ac:dyDescent="0.25">
      <c r="B50" s="156"/>
      <c r="C50" s="163" t="s">
        <v>236</v>
      </c>
      <c r="D50" s="164">
        <f>D14+D15+D16+D17+D18+D19+D20+D21+D22+D23+D24+D25+D26+D27+D28+D29+D30+D31+D32+D33+D34+D35+D36+D37+D38+D39+D40+D41+D42+D43+D44+D45+D46+D47+D48+D49</f>
        <v>132.35</v>
      </c>
      <c r="E50" s="165">
        <f>E14+E15+E16+E17+E18+E19+E20+E21+E22+E23+E24+E25+E26+E27+E28+E29+E30+E31+E32+E33+E34+E35+E36+E37+E38+E39+E40+E41+E42+E43+E44+E45+E46+E47+E48+E49</f>
        <v>500388.84</v>
      </c>
      <c r="F50" s="344">
        <f>F14+F15+F16+F17+F18+F19+F20+F21+F22+F23+F24+F25+F26+F27+F28+F29+F30+F31+F32+F33+F34+F35+F36+F37+F38+F39+F40+F41+F42+F43+F44+F45+F46+F47+F48+F49</f>
        <v>249097</v>
      </c>
      <c r="G50" s="344"/>
      <c r="H50" s="344">
        <f>H14+H15+H16+H17+H20+H21+H24+H26+H28+H30+H31+H32+H33+H34+H35+H36+H37+H38+H39+H40+H41+H42+H43+H44+H45+H46+H47+H48+H49</f>
        <v>0</v>
      </c>
      <c r="I50" s="344"/>
      <c r="J50" s="344">
        <f>J14+J15+J16++J17+J18+J19+J20+J21+J22+J23+J24+J25+J26+J27+J28+J29+J30+J31+J32+J33+J34+J35+J36+J37+J38+J39+J40+J41+J42+J43+J44+J45+J46+J47+J48+J49</f>
        <v>251291.84000000005</v>
      </c>
      <c r="K50" s="344"/>
      <c r="L50" s="165">
        <f>L14+L15+L16+L17+L20+L21+L24+L26+L28+L30+L31+L32+L33+L34+L35+L36+L37+L38+L39+L40+L41+L42+L43+L44++L45+L46+L47+L48+L49</f>
        <v>0</v>
      </c>
      <c r="M50" s="166" t="s">
        <v>58</v>
      </c>
      <c r="N50" s="167">
        <f>N14+N15+N16+N17+N18+N19+N20+N21+N22+N23+N24+N25+N26+N27+N28+N29+N30+N31+N32+N33+N34+N35+N36+N37+N38+N39+N40+N41+N42+N43+N44+N45+N46+N47+N48+N49+0.05</f>
        <v>47620469.557999998</v>
      </c>
      <c r="O50" s="259">
        <f>O14+O15+O16+O17+O18+O19+O20+O21+O22+O23+O24+O25+O26+O27+O28+O29+O30+O31+O32+O34+O35</f>
        <v>641515.19999999995</v>
      </c>
      <c r="P50" s="167">
        <f>P14+P15+P16+P17+P18+P19+P20+P21+P22+P23+P24+P25+P26+P27+P28+P29+P30+P31+P32+P33+P34+P35+P36+P37+P38+P39+P40+P41+P42+P43+P44+P45+P46+P47+P48+P49+1.45</f>
        <v>48261986.158000007</v>
      </c>
      <c r="Q50" s="204"/>
      <c r="R50" s="181"/>
    </row>
    <row r="51" spans="2:18" x14ac:dyDescent="0.25">
      <c r="B51" s="168"/>
      <c r="C51" s="216"/>
      <c r="D51" s="217"/>
      <c r="E51" s="218"/>
      <c r="F51" s="219"/>
      <c r="G51" s="219"/>
      <c r="H51" s="219"/>
      <c r="I51" s="219"/>
      <c r="J51" s="219"/>
      <c r="K51" s="219"/>
      <c r="L51" s="218"/>
      <c r="M51" s="220"/>
      <c r="N51" s="226"/>
      <c r="O51" s="218"/>
      <c r="P51" s="226"/>
      <c r="Q51" s="221"/>
      <c r="R51" s="181"/>
    </row>
    <row r="52" spans="2:18" x14ac:dyDescent="0.25">
      <c r="B52" s="168"/>
      <c r="C52" s="306" t="s">
        <v>379</v>
      </c>
      <c r="D52" s="306"/>
      <c r="E52" s="306"/>
      <c r="F52" s="306"/>
      <c r="G52" s="306"/>
      <c r="H52" s="306"/>
      <c r="I52" s="306"/>
      <c r="J52" s="306"/>
      <c r="K52" s="306"/>
      <c r="L52" s="306"/>
      <c r="M52" s="220"/>
      <c r="N52" s="227"/>
      <c r="O52" s="218"/>
      <c r="P52" s="227"/>
      <c r="Q52" s="221"/>
      <c r="R52" s="181"/>
    </row>
    <row r="53" spans="2:18" x14ac:dyDescent="0.25">
      <c r="B53" s="168"/>
      <c r="C53" s="216"/>
      <c r="D53" s="217"/>
      <c r="E53" s="218"/>
      <c r="F53" s="219"/>
      <c r="G53" s="219"/>
      <c r="H53" s="219"/>
      <c r="I53" s="219"/>
      <c r="J53" s="219"/>
      <c r="K53" s="219"/>
      <c r="L53" s="218"/>
      <c r="M53" s="220"/>
      <c r="N53" s="227"/>
      <c r="O53" s="218"/>
      <c r="P53" s="227"/>
      <c r="Q53" s="221"/>
      <c r="R53" s="181"/>
    </row>
    <row r="54" spans="2:18" ht="14.95" customHeight="1" x14ac:dyDescent="0.25">
      <c r="B54" s="250" t="s">
        <v>380</v>
      </c>
      <c r="C54" s="250" t="s">
        <v>381</v>
      </c>
      <c r="D54" s="307" t="s">
        <v>382</v>
      </c>
      <c r="E54" s="307"/>
      <c r="F54" s="307"/>
      <c r="G54" s="307" t="s">
        <v>268</v>
      </c>
      <c r="H54" s="307"/>
      <c r="I54" s="307" t="s">
        <v>383</v>
      </c>
      <c r="J54" s="307"/>
      <c r="K54" s="307" t="s">
        <v>384</v>
      </c>
      <c r="L54" s="307"/>
      <c r="M54" s="307"/>
      <c r="N54" s="227"/>
      <c r="O54" s="218"/>
      <c r="P54" s="227"/>
      <c r="Q54" s="221"/>
      <c r="R54" s="181"/>
    </row>
    <row r="55" spans="2:18" x14ac:dyDescent="0.25">
      <c r="B55" s="222"/>
      <c r="C55" s="155">
        <v>2</v>
      </c>
      <c r="D55" s="308">
        <v>3</v>
      </c>
      <c r="E55" s="309"/>
      <c r="F55" s="310"/>
      <c r="G55" s="308">
        <v>4</v>
      </c>
      <c r="H55" s="310"/>
      <c r="I55" s="308">
        <v>5</v>
      </c>
      <c r="J55" s="310"/>
      <c r="K55" s="308">
        <v>6</v>
      </c>
      <c r="L55" s="309"/>
      <c r="M55" s="310"/>
      <c r="N55" s="227"/>
      <c r="O55" s="218"/>
      <c r="P55" s="227"/>
      <c r="Q55" s="221"/>
      <c r="R55" s="181"/>
    </row>
    <row r="56" spans="2:18" ht="28.55" customHeight="1" x14ac:dyDescent="0.25">
      <c r="B56" s="210"/>
      <c r="C56" s="162" t="s">
        <v>385</v>
      </c>
      <c r="D56" s="308"/>
      <c r="E56" s="309"/>
      <c r="F56" s="310"/>
      <c r="G56" s="308"/>
      <c r="H56" s="310"/>
      <c r="I56" s="308"/>
      <c r="J56" s="310"/>
      <c r="K56" s="308"/>
      <c r="L56" s="309"/>
      <c r="M56" s="310"/>
      <c r="N56" s="227"/>
      <c r="O56" s="218"/>
      <c r="P56" s="227"/>
      <c r="Q56" s="221"/>
      <c r="R56" s="181"/>
    </row>
    <row r="57" spans="2:18" x14ac:dyDescent="0.25">
      <c r="B57" s="155">
        <v>1</v>
      </c>
      <c r="C57" s="156" t="s">
        <v>386</v>
      </c>
      <c r="D57" s="317">
        <v>600</v>
      </c>
      <c r="E57" s="318"/>
      <c r="F57" s="319"/>
      <c r="G57" s="311">
        <v>2</v>
      </c>
      <c r="H57" s="313"/>
      <c r="I57" s="311">
        <v>2</v>
      </c>
      <c r="J57" s="313"/>
      <c r="K57" s="317">
        <f>D57*G57*I57</f>
        <v>2400</v>
      </c>
      <c r="L57" s="318"/>
      <c r="M57" s="319"/>
      <c r="N57" s="227"/>
      <c r="O57" s="10"/>
      <c r="P57" s="227"/>
    </row>
    <row r="58" spans="2:18" x14ac:dyDescent="0.25">
      <c r="B58" s="155">
        <v>2</v>
      </c>
      <c r="C58" s="156" t="s">
        <v>387</v>
      </c>
      <c r="D58" s="317">
        <v>1400</v>
      </c>
      <c r="E58" s="318"/>
      <c r="F58" s="319"/>
      <c r="G58" s="311">
        <v>2</v>
      </c>
      <c r="H58" s="313"/>
      <c r="I58" s="311">
        <v>2</v>
      </c>
      <c r="J58" s="313"/>
      <c r="K58" s="317">
        <f>D58*G58*I58</f>
        <v>5600</v>
      </c>
      <c r="L58" s="318"/>
      <c r="M58" s="319"/>
      <c r="N58" s="10"/>
      <c r="O58" s="10"/>
      <c r="P58" s="10"/>
    </row>
    <row r="59" spans="2:18" x14ac:dyDescent="0.25">
      <c r="B59" s="210"/>
      <c r="C59" s="223" t="s">
        <v>236</v>
      </c>
      <c r="D59" s="311" t="s">
        <v>58</v>
      </c>
      <c r="E59" s="312"/>
      <c r="F59" s="313"/>
      <c r="G59" s="311" t="s">
        <v>58</v>
      </c>
      <c r="H59" s="313"/>
      <c r="I59" s="311" t="s">
        <v>58</v>
      </c>
      <c r="J59" s="313"/>
      <c r="K59" s="314">
        <f>K57+K58</f>
        <v>8000</v>
      </c>
      <c r="L59" s="315"/>
      <c r="M59" s="316"/>
      <c r="N59" s="10"/>
      <c r="O59" s="10"/>
      <c r="P59" s="10"/>
    </row>
    <row r="60" spans="2:18" x14ac:dyDescent="0.25">
      <c r="B60" s="181"/>
      <c r="C60" s="224"/>
      <c r="D60" s="224"/>
      <c r="E60" s="224"/>
      <c r="F60" s="224"/>
      <c r="G60" s="224"/>
      <c r="H60" s="224"/>
      <c r="I60" s="224"/>
      <c r="J60" s="224"/>
      <c r="K60" s="225"/>
      <c r="L60" s="225"/>
      <c r="M60" s="225"/>
      <c r="N60" s="10"/>
      <c r="O60" s="10"/>
      <c r="P60" s="10"/>
    </row>
    <row r="61" spans="2:18" x14ac:dyDescent="0.25">
      <c r="B61" s="343" t="s">
        <v>270</v>
      </c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10"/>
      <c r="O61" s="10"/>
      <c r="P61" s="179"/>
      <c r="Q61" s="231"/>
    </row>
    <row r="62" spans="2:18" x14ac:dyDescent="0.2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79"/>
    </row>
    <row r="63" spans="2:18" x14ac:dyDescent="0.2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79"/>
    </row>
    <row r="64" spans="2:18" ht="78.8" customHeight="1" x14ac:dyDescent="0.25">
      <c r="B64" s="245" t="s">
        <v>271</v>
      </c>
      <c r="C64" s="245" t="s">
        <v>272</v>
      </c>
      <c r="D64" s="245" t="s">
        <v>273</v>
      </c>
      <c r="E64" s="245" t="s">
        <v>274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5.65" x14ac:dyDescent="0.25">
      <c r="B65" s="245">
        <v>1</v>
      </c>
      <c r="C65" s="245">
        <v>2</v>
      </c>
      <c r="D65" s="245">
        <v>3</v>
      </c>
      <c r="E65" s="245">
        <v>4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37.549999999999997" customHeight="1" x14ac:dyDescent="0.25">
      <c r="B66" s="245">
        <v>1</v>
      </c>
      <c r="C66" s="170" t="s">
        <v>275</v>
      </c>
      <c r="D66" s="245" t="s">
        <v>276</v>
      </c>
      <c r="E66" s="252">
        <f>E67</f>
        <v>10195682.6796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2:16" ht="16.5" customHeight="1" x14ac:dyDescent="0.25">
      <c r="B67" s="289" t="s">
        <v>277</v>
      </c>
      <c r="C67" s="171" t="s">
        <v>12</v>
      </c>
      <c r="D67" s="333">
        <v>46344012.18</v>
      </c>
      <c r="E67" s="333">
        <f>D67*22%</f>
        <v>10195682.6796</v>
      </c>
      <c r="F67" s="10"/>
      <c r="G67" s="10"/>
      <c r="H67" s="10"/>
      <c r="I67" s="10"/>
      <c r="J67" s="10"/>
      <c r="K67" s="10"/>
      <c r="L67" s="10"/>
      <c r="M67" s="10"/>
      <c r="N67" s="179"/>
      <c r="O67" s="10"/>
      <c r="P67" s="10"/>
    </row>
    <row r="68" spans="2:16" ht="23.3" customHeight="1" x14ac:dyDescent="0.25">
      <c r="B68" s="289"/>
      <c r="C68" s="171" t="s">
        <v>278</v>
      </c>
      <c r="D68" s="333"/>
      <c r="E68" s="33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2:16" ht="14.3" customHeight="1" x14ac:dyDescent="0.25">
      <c r="B69" s="245" t="s">
        <v>279</v>
      </c>
      <c r="C69" s="172" t="s">
        <v>280</v>
      </c>
      <c r="D69" s="245" t="s">
        <v>206</v>
      </c>
      <c r="E69" s="252">
        <v>0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2:16" ht="52.5" customHeight="1" x14ac:dyDescent="0.25">
      <c r="B70" s="245" t="s">
        <v>281</v>
      </c>
      <c r="C70" s="170" t="s">
        <v>282</v>
      </c>
      <c r="D70" s="245" t="s">
        <v>206</v>
      </c>
      <c r="E70" s="245" t="s">
        <v>206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2:16" ht="36" customHeight="1" x14ac:dyDescent="0.25">
      <c r="B71" s="245">
        <v>2</v>
      </c>
      <c r="C71" s="170" t="s">
        <v>283</v>
      </c>
      <c r="D71" s="245" t="s">
        <v>276</v>
      </c>
      <c r="E71" s="252">
        <f>E72+E75</f>
        <v>1436664.3775799999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2:16" ht="16.5" customHeight="1" x14ac:dyDescent="0.25">
      <c r="B72" s="289" t="s">
        <v>284</v>
      </c>
      <c r="C72" s="172" t="s">
        <v>12</v>
      </c>
      <c r="D72" s="333">
        <v>46344012.18</v>
      </c>
      <c r="E72" s="333">
        <f>D72*2.9%</f>
        <v>1343976.3532199999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2:16" ht="48.1" customHeight="1" x14ac:dyDescent="0.25">
      <c r="B73" s="289"/>
      <c r="C73" s="170" t="s">
        <v>285</v>
      </c>
      <c r="D73" s="333"/>
      <c r="E73" s="33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2:16" ht="50.95" customHeight="1" x14ac:dyDescent="0.25">
      <c r="B74" s="245" t="s">
        <v>286</v>
      </c>
      <c r="C74" s="170" t="s">
        <v>287</v>
      </c>
      <c r="D74" s="245" t="s">
        <v>206</v>
      </c>
      <c r="E74" s="245" t="s">
        <v>206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2:16" ht="63.7" customHeight="1" x14ac:dyDescent="0.25">
      <c r="B75" s="245" t="s">
        <v>288</v>
      </c>
      <c r="C75" s="170" t="s">
        <v>289</v>
      </c>
      <c r="D75" s="252">
        <v>46344012.18</v>
      </c>
      <c r="E75" s="252">
        <f>D75*0.2%</f>
        <v>92688.024359999996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2:16" ht="58.6" customHeight="1" x14ac:dyDescent="0.25">
      <c r="B76" s="245" t="s">
        <v>290</v>
      </c>
      <c r="C76" s="173" t="s">
        <v>291</v>
      </c>
      <c r="D76" s="245" t="s">
        <v>206</v>
      </c>
      <c r="E76" s="245" t="s">
        <v>206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2:16" ht="70.5" customHeight="1" x14ac:dyDescent="0.25">
      <c r="B77" s="245" t="s">
        <v>292</v>
      </c>
      <c r="C77" s="173" t="s">
        <v>291</v>
      </c>
      <c r="D77" s="245" t="s">
        <v>206</v>
      </c>
      <c r="E77" s="245" t="s">
        <v>206</v>
      </c>
      <c r="F77" s="10"/>
      <c r="G77" s="10"/>
      <c r="H77" s="10"/>
      <c r="I77" s="10"/>
      <c r="J77" s="10"/>
      <c r="K77" s="10"/>
      <c r="L77" s="10"/>
      <c r="M77" s="179"/>
      <c r="N77" s="10"/>
      <c r="O77" s="10"/>
      <c r="P77" s="10"/>
    </row>
    <row r="78" spans="2:16" ht="50.95" customHeight="1" x14ac:dyDescent="0.25">
      <c r="B78" s="245">
        <v>3</v>
      </c>
      <c r="C78" s="170" t="s">
        <v>293</v>
      </c>
      <c r="D78" s="252">
        <v>46344012.18</v>
      </c>
      <c r="E78" s="252">
        <f>D78*5.1%</f>
        <v>2363544.6211799998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2:16" ht="15.65" x14ac:dyDescent="0.25">
      <c r="B79" s="245"/>
      <c r="C79" s="174" t="s">
        <v>160</v>
      </c>
      <c r="D79" s="245" t="s">
        <v>276</v>
      </c>
      <c r="E79" s="254">
        <f>E66+E71+E78-85739.2</f>
        <v>13910152.478360001</v>
      </c>
      <c r="F79" s="10"/>
      <c r="G79" s="179"/>
      <c r="H79" s="179"/>
      <c r="I79" s="10"/>
      <c r="J79" s="179"/>
      <c r="K79" s="10"/>
      <c r="L79" s="169"/>
      <c r="M79" s="10"/>
      <c r="N79" s="10"/>
      <c r="O79" s="10"/>
      <c r="P79" s="10"/>
    </row>
    <row r="80" spans="2:16" x14ac:dyDescent="0.25">
      <c r="H80" s="231"/>
    </row>
    <row r="81" spans="2:13" x14ac:dyDescent="0.25">
      <c r="B81" s="329" t="s">
        <v>299</v>
      </c>
      <c r="C81" s="329"/>
      <c r="D81" s="329"/>
      <c r="E81" s="329"/>
      <c r="F81" s="329"/>
      <c r="G81" s="329"/>
      <c r="H81" s="329"/>
      <c r="I81" s="10"/>
      <c r="J81" s="10"/>
      <c r="K81" s="10"/>
      <c r="L81" s="10"/>
      <c r="M81" s="10"/>
    </row>
    <row r="82" spans="2:13" x14ac:dyDescent="0.2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 x14ac:dyDescent="0.25">
      <c r="B83" s="328" t="s">
        <v>300</v>
      </c>
      <c r="C83" s="328"/>
      <c r="D83" s="328"/>
      <c r="E83" s="328"/>
      <c r="F83" s="328"/>
      <c r="G83" s="328"/>
      <c r="H83" s="328"/>
      <c r="I83" s="328"/>
      <c r="J83" s="328"/>
      <c r="K83" s="328"/>
      <c r="L83" s="328"/>
      <c r="M83" s="328"/>
    </row>
    <row r="84" spans="2:13" x14ac:dyDescent="0.25">
      <c r="B84" s="328" t="s">
        <v>301</v>
      </c>
      <c r="C84" s="328"/>
      <c r="D84" s="328"/>
      <c r="E84" s="328"/>
      <c r="F84" s="328"/>
      <c r="G84" s="328"/>
      <c r="H84" s="328"/>
      <c r="I84" s="328"/>
      <c r="J84" s="328"/>
      <c r="K84" s="328"/>
      <c r="L84" s="328"/>
      <c r="M84" s="328"/>
    </row>
    <row r="85" spans="2:13" x14ac:dyDescent="0.25">
      <c r="B85" s="248"/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</row>
    <row r="86" spans="2:13" x14ac:dyDescent="0.25">
      <c r="B86" s="329" t="s">
        <v>302</v>
      </c>
      <c r="C86" s="329"/>
      <c r="D86" s="329"/>
      <c r="E86" s="329"/>
      <c r="F86" s="329"/>
      <c r="G86" s="329"/>
      <c r="H86" s="248"/>
      <c r="I86" s="248"/>
      <c r="J86" s="248"/>
      <c r="K86" s="248"/>
      <c r="L86" s="248"/>
      <c r="M86" s="248"/>
    </row>
    <row r="87" spans="2:13" x14ac:dyDescent="0.25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 ht="68.3" customHeight="1" x14ac:dyDescent="0.25">
      <c r="B88" s="245" t="s">
        <v>271</v>
      </c>
      <c r="C88" s="245" t="s">
        <v>295</v>
      </c>
      <c r="D88" s="245" t="s">
        <v>303</v>
      </c>
      <c r="E88" s="245" t="s">
        <v>304</v>
      </c>
      <c r="F88" s="289" t="s">
        <v>305</v>
      </c>
      <c r="G88" s="289"/>
      <c r="H88" s="249" t="s">
        <v>306</v>
      </c>
      <c r="I88" s="10"/>
      <c r="J88" s="10"/>
      <c r="K88" s="10"/>
      <c r="L88" s="10"/>
      <c r="M88" s="10"/>
    </row>
    <row r="89" spans="2:13" ht="15.65" x14ac:dyDescent="0.25">
      <c r="B89" s="245">
        <v>1</v>
      </c>
      <c r="C89" s="245">
        <v>2</v>
      </c>
      <c r="D89" s="245">
        <v>3</v>
      </c>
      <c r="E89" s="245">
        <v>4</v>
      </c>
      <c r="F89" s="289">
        <v>5</v>
      </c>
      <c r="G89" s="289"/>
      <c r="H89" s="155">
        <v>6</v>
      </c>
      <c r="I89" s="10"/>
      <c r="J89" s="10"/>
      <c r="K89" s="10"/>
      <c r="L89" s="10"/>
      <c r="M89" s="10"/>
    </row>
    <row r="90" spans="2:13" ht="15.65" x14ac:dyDescent="0.25">
      <c r="B90" s="245">
        <v>1</v>
      </c>
      <c r="C90" s="175" t="s">
        <v>307</v>
      </c>
      <c r="D90" s="245">
        <v>4</v>
      </c>
      <c r="E90" s="245">
        <v>12</v>
      </c>
      <c r="F90" s="333">
        <v>612.66999999999996</v>
      </c>
      <c r="G90" s="333"/>
      <c r="H90" s="251">
        <f>D90*E90*F90</f>
        <v>29408.159999999996</v>
      </c>
      <c r="I90" s="10"/>
      <c r="J90" s="10"/>
      <c r="K90" s="10"/>
      <c r="L90" s="10"/>
      <c r="M90" s="10"/>
    </row>
    <row r="91" spans="2:13" ht="15.65" x14ac:dyDescent="0.25">
      <c r="B91" s="245">
        <v>2</v>
      </c>
      <c r="C91" s="175" t="s">
        <v>308</v>
      </c>
      <c r="D91" s="245">
        <v>4</v>
      </c>
      <c r="E91" s="245">
        <v>12</v>
      </c>
      <c r="F91" s="333">
        <v>581.1</v>
      </c>
      <c r="G91" s="333"/>
      <c r="H91" s="251">
        <f t="shared" ref="H91:H95" si="8">D91*E91*F91</f>
        <v>27892.800000000003</v>
      </c>
      <c r="I91" s="10"/>
      <c r="J91" s="10"/>
      <c r="K91" s="10"/>
      <c r="L91" s="10"/>
      <c r="M91" s="10"/>
    </row>
    <row r="92" spans="2:13" ht="23.3" customHeight="1" x14ac:dyDescent="0.25">
      <c r="B92" s="245">
        <v>3</v>
      </c>
      <c r="C92" s="175" t="s">
        <v>309</v>
      </c>
      <c r="D92" s="245">
        <v>4</v>
      </c>
      <c r="E92" s="245">
        <v>12</v>
      </c>
      <c r="F92" s="322">
        <v>681</v>
      </c>
      <c r="G92" s="323"/>
      <c r="H92" s="251">
        <f>D92*E92*F92</f>
        <v>32688</v>
      </c>
      <c r="I92" s="10"/>
      <c r="J92" s="10"/>
      <c r="K92" s="10"/>
      <c r="L92" s="10"/>
      <c r="M92" s="10"/>
    </row>
    <row r="93" spans="2:13" ht="35.35" customHeight="1" x14ac:dyDescent="0.25">
      <c r="B93" s="245">
        <v>4</v>
      </c>
      <c r="C93" s="175" t="s">
        <v>310</v>
      </c>
      <c r="D93" s="245">
        <v>1</v>
      </c>
      <c r="E93" s="245">
        <v>12</v>
      </c>
      <c r="F93" s="322">
        <v>645.1</v>
      </c>
      <c r="G93" s="323"/>
      <c r="H93" s="178">
        <f>D93*E93*F93</f>
        <v>7741.2000000000007</v>
      </c>
      <c r="I93" s="10"/>
      <c r="J93" s="10"/>
      <c r="K93" s="10"/>
      <c r="L93" s="10"/>
      <c r="M93" s="10"/>
    </row>
    <row r="94" spans="2:13" ht="23.95" customHeight="1" x14ac:dyDescent="0.25">
      <c r="B94" s="245">
        <v>5</v>
      </c>
      <c r="C94" s="175" t="s">
        <v>311</v>
      </c>
      <c r="D94" s="245">
        <v>1</v>
      </c>
      <c r="E94" s="245">
        <v>12</v>
      </c>
      <c r="F94" s="322">
        <v>800</v>
      </c>
      <c r="G94" s="323"/>
      <c r="H94" s="251">
        <f t="shared" si="8"/>
        <v>9600</v>
      </c>
      <c r="I94" s="10"/>
      <c r="J94" s="10"/>
      <c r="K94" s="10"/>
      <c r="L94" s="10"/>
      <c r="M94" s="10"/>
    </row>
    <row r="95" spans="2:13" ht="15.65" x14ac:dyDescent="0.25">
      <c r="B95" s="245">
        <v>6</v>
      </c>
      <c r="C95" s="175" t="s">
        <v>312</v>
      </c>
      <c r="D95" s="245">
        <v>2</v>
      </c>
      <c r="E95" s="245">
        <v>12</v>
      </c>
      <c r="F95" s="322">
        <v>900</v>
      </c>
      <c r="G95" s="323"/>
      <c r="H95" s="251">
        <f t="shared" si="8"/>
        <v>21600</v>
      </c>
      <c r="I95" s="10"/>
      <c r="J95" s="10"/>
      <c r="K95" s="10"/>
      <c r="L95" s="10"/>
      <c r="M95" s="10"/>
    </row>
    <row r="96" spans="2:13" ht="15.65" x14ac:dyDescent="0.25">
      <c r="B96" s="245"/>
      <c r="C96" s="174" t="s">
        <v>160</v>
      </c>
      <c r="D96" s="245" t="s">
        <v>58</v>
      </c>
      <c r="E96" s="245" t="s">
        <v>276</v>
      </c>
      <c r="F96" s="289" t="s">
        <v>58</v>
      </c>
      <c r="G96" s="289"/>
      <c r="H96" s="246">
        <f>H90+H91+H92+H93+H94+H95-0.16</f>
        <v>128929.99999999999</v>
      </c>
      <c r="I96" s="10"/>
      <c r="J96" s="10"/>
      <c r="K96" s="10"/>
      <c r="L96" s="179"/>
      <c r="M96" s="10"/>
    </row>
    <row r="97" spans="2:15" x14ac:dyDescent="0.25">
      <c r="L97" s="186"/>
      <c r="M97" s="231"/>
    </row>
    <row r="98" spans="2:15" x14ac:dyDescent="0.25">
      <c r="B98" s="329" t="s">
        <v>313</v>
      </c>
      <c r="C98" s="329"/>
      <c r="D98" s="329"/>
      <c r="E98" s="329"/>
      <c r="F98" s="329"/>
      <c r="G98" s="329"/>
      <c r="H98" s="248"/>
    </row>
    <row r="99" spans="2:15" x14ac:dyDescent="0.25">
      <c r="C99" s="10"/>
      <c r="D99" s="10"/>
      <c r="E99" s="10"/>
      <c r="F99" s="10"/>
      <c r="G99" s="10"/>
      <c r="H99" s="10"/>
    </row>
    <row r="100" spans="2:15" ht="46.9" x14ac:dyDescent="0.25">
      <c r="B100" s="245" t="s">
        <v>271</v>
      </c>
      <c r="C100" s="245" t="s">
        <v>7</v>
      </c>
      <c r="D100" s="245" t="s">
        <v>314</v>
      </c>
      <c r="E100" s="245" t="s">
        <v>315</v>
      </c>
      <c r="F100" s="289" t="s">
        <v>316</v>
      </c>
      <c r="G100" s="289"/>
      <c r="H100" s="249" t="s">
        <v>306</v>
      </c>
      <c r="J100" s="182"/>
      <c r="K100" s="183"/>
      <c r="L100" s="183"/>
      <c r="M100" s="183"/>
    </row>
    <row r="101" spans="2:15" ht="15.65" x14ac:dyDescent="0.25">
      <c r="B101" s="245">
        <v>1</v>
      </c>
      <c r="C101" s="245">
        <v>2</v>
      </c>
      <c r="D101" s="245">
        <v>3</v>
      </c>
      <c r="E101" s="245">
        <v>4</v>
      </c>
      <c r="F101" s="289">
        <v>5</v>
      </c>
      <c r="G101" s="289"/>
      <c r="H101" s="155">
        <v>6</v>
      </c>
      <c r="L101" s="180"/>
      <c r="M101" s="180"/>
      <c r="N101" s="180"/>
      <c r="O101" s="184"/>
    </row>
    <row r="102" spans="2:15" ht="15.65" x14ac:dyDescent="0.25">
      <c r="B102" s="245">
        <v>1</v>
      </c>
      <c r="C102" s="175" t="s">
        <v>317</v>
      </c>
      <c r="D102" s="252">
        <v>2100.6</v>
      </c>
      <c r="E102" s="235">
        <v>2273.9699999999998</v>
      </c>
      <c r="F102" s="342">
        <v>1.034</v>
      </c>
      <c r="G102" s="342"/>
      <c r="H102" s="157">
        <f>D102*E102*F102</f>
        <v>4939109.2289879993</v>
      </c>
      <c r="O102" s="184"/>
    </row>
    <row r="103" spans="2:15" ht="15.65" x14ac:dyDescent="0.25">
      <c r="B103" s="245">
        <v>2</v>
      </c>
      <c r="C103" s="175" t="s">
        <v>318</v>
      </c>
      <c r="D103" s="252">
        <v>103709.052</v>
      </c>
      <c r="E103" s="254">
        <v>5.27</v>
      </c>
      <c r="F103" s="340">
        <v>1.034</v>
      </c>
      <c r="G103" s="341"/>
      <c r="H103" s="157">
        <f>D103*E103*F103</f>
        <v>565129.29197736003</v>
      </c>
    </row>
    <row r="104" spans="2:15" ht="15.65" x14ac:dyDescent="0.25">
      <c r="B104" s="245">
        <v>3</v>
      </c>
      <c r="C104" s="175" t="s">
        <v>319</v>
      </c>
      <c r="D104" s="252">
        <v>280.99799999999999</v>
      </c>
      <c r="E104" s="235">
        <v>2273.9699999999998</v>
      </c>
      <c r="F104" s="340">
        <v>1.034</v>
      </c>
      <c r="G104" s="341"/>
      <c r="H104" s="157">
        <f>D104*E104*F104</f>
        <v>660706.37681003986</v>
      </c>
      <c r="M104" s="231"/>
    </row>
    <row r="105" spans="2:15" ht="15.65" x14ac:dyDescent="0.25">
      <c r="B105" s="245">
        <v>4</v>
      </c>
      <c r="C105" s="175" t="s">
        <v>320</v>
      </c>
      <c r="D105" s="252">
        <v>5000.62</v>
      </c>
      <c r="E105" s="235">
        <v>14.26</v>
      </c>
      <c r="F105" s="340">
        <v>1.034</v>
      </c>
      <c r="G105" s="341"/>
      <c r="H105" s="157">
        <f t="shared" ref="H105" si="9">D105*E105*F105</f>
        <v>73733.341800800001</v>
      </c>
      <c r="M105" s="231"/>
    </row>
    <row r="106" spans="2:15" ht="15.65" x14ac:dyDescent="0.25">
      <c r="B106" s="245">
        <v>5</v>
      </c>
      <c r="C106" s="175" t="s">
        <v>321</v>
      </c>
      <c r="D106" s="252">
        <v>5200.6805000000004</v>
      </c>
      <c r="E106" s="235">
        <v>30.21</v>
      </c>
      <c r="F106" s="340">
        <v>1.034</v>
      </c>
      <c r="G106" s="341"/>
      <c r="H106" s="157">
        <f>D106*E106*F106</f>
        <v>162454.38487377003</v>
      </c>
      <c r="M106" s="231"/>
    </row>
    <row r="107" spans="2:15" ht="15.65" x14ac:dyDescent="0.25">
      <c r="B107" s="245"/>
      <c r="C107" s="175"/>
      <c r="D107" s="245" t="s">
        <v>58</v>
      </c>
      <c r="E107" s="245" t="s">
        <v>276</v>
      </c>
      <c r="F107" s="289" t="s">
        <v>58</v>
      </c>
      <c r="G107" s="289"/>
      <c r="H107" s="160">
        <f>H102+H103+H104+H105+H106</f>
        <v>6401132.6244499683</v>
      </c>
      <c r="J107" s="231"/>
      <c r="L107" s="231"/>
      <c r="N107" s="185"/>
    </row>
    <row r="108" spans="2:15" x14ac:dyDescent="0.25">
      <c r="L108" s="231"/>
    </row>
    <row r="109" spans="2:15" x14ac:dyDescent="0.25">
      <c r="B109" s="329" t="s">
        <v>322</v>
      </c>
      <c r="C109" s="329"/>
      <c r="D109" s="329"/>
      <c r="E109" s="329"/>
      <c r="F109" s="329"/>
      <c r="G109" s="329"/>
      <c r="J109" s="231"/>
    </row>
    <row r="110" spans="2:15" x14ac:dyDescent="0.25">
      <c r="C110" s="10"/>
      <c r="D110" s="10"/>
      <c r="E110" s="10"/>
      <c r="F110" s="10"/>
      <c r="G110" s="10"/>
      <c r="L110" s="231"/>
    </row>
    <row r="111" spans="2:15" ht="31.25" x14ac:dyDescent="0.25">
      <c r="B111" s="245" t="s">
        <v>271</v>
      </c>
      <c r="C111" s="245" t="s">
        <v>295</v>
      </c>
      <c r="D111" s="245" t="s">
        <v>323</v>
      </c>
      <c r="E111" s="245" t="s">
        <v>324</v>
      </c>
      <c r="F111" s="289" t="s">
        <v>325</v>
      </c>
      <c r="G111" s="289"/>
    </row>
    <row r="112" spans="2:15" ht="15.65" x14ac:dyDescent="0.25">
      <c r="B112" s="245">
        <v>1</v>
      </c>
      <c r="C112" s="245">
        <v>2</v>
      </c>
      <c r="D112" s="245">
        <v>3</v>
      </c>
      <c r="E112" s="245">
        <v>4</v>
      </c>
      <c r="F112" s="289">
        <v>5</v>
      </c>
      <c r="G112" s="289"/>
    </row>
    <row r="113" spans="2:14" ht="15.65" x14ac:dyDescent="0.25">
      <c r="B113" s="245">
        <v>1</v>
      </c>
      <c r="C113" s="175" t="s">
        <v>326</v>
      </c>
      <c r="D113" s="245" t="s">
        <v>327</v>
      </c>
      <c r="E113" s="245">
        <v>12</v>
      </c>
      <c r="F113" s="333">
        <v>30000</v>
      </c>
      <c r="G113" s="333"/>
      <c r="N113" s="231"/>
    </row>
    <row r="114" spans="2:14" ht="15.65" x14ac:dyDescent="0.25">
      <c r="B114" s="245">
        <v>2</v>
      </c>
      <c r="C114" s="175" t="s">
        <v>328</v>
      </c>
      <c r="D114" s="245" t="s">
        <v>327</v>
      </c>
      <c r="E114" s="245">
        <v>6</v>
      </c>
      <c r="F114" s="322">
        <v>40000</v>
      </c>
      <c r="G114" s="323"/>
      <c r="N114" s="231"/>
    </row>
    <row r="115" spans="2:14" ht="15.65" x14ac:dyDescent="0.25">
      <c r="B115" s="245">
        <v>2</v>
      </c>
      <c r="C115" s="175" t="s">
        <v>329</v>
      </c>
      <c r="D115" s="245" t="s">
        <v>327</v>
      </c>
      <c r="E115" s="245">
        <v>1</v>
      </c>
      <c r="F115" s="333">
        <f>107100-50000</f>
        <v>57100</v>
      </c>
      <c r="G115" s="333"/>
      <c r="N115" s="231"/>
    </row>
    <row r="116" spans="2:14" ht="15.65" x14ac:dyDescent="0.25">
      <c r="B116" s="245">
        <v>3</v>
      </c>
      <c r="C116" s="175" t="s">
        <v>330</v>
      </c>
      <c r="D116" s="245" t="s">
        <v>327</v>
      </c>
      <c r="E116" s="245">
        <v>1</v>
      </c>
      <c r="F116" s="322">
        <v>30000</v>
      </c>
      <c r="G116" s="323"/>
      <c r="N116" s="231"/>
    </row>
    <row r="117" spans="2:14" ht="31.25" x14ac:dyDescent="0.25">
      <c r="B117" s="245">
        <v>4</v>
      </c>
      <c r="C117" s="175" t="s">
        <v>331</v>
      </c>
      <c r="D117" s="245" t="s">
        <v>327</v>
      </c>
      <c r="E117" s="245">
        <v>12</v>
      </c>
      <c r="F117" s="322">
        <v>25000</v>
      </c>
      <c r="G117" s="323"/>
      <c r="N117" s="231"/>
    </row>
    <row r="118" spans="2:14" ht="46.9" x14ac:dyDescent="0.25">
      <c r="B118" s="245">
        <v>5</v>
      </c>
      <c r="C118" s="175" t="s">
        <v>332</v>
      </c>
      <c r="D118" s="245" t="s">
        <v>327</v>
      </c>
      <c r="E118" s="245">
        <v>12</v>
      </c>
      <c r="F118" s="322">
        <v>8000</v>
      </c>
      <c r="G118" s="323"/>
      <c r="N118" s="231"/>
    </row>
    <row r="119" spans="2:14" ht="15.65" x14ac:dyDescent="0.25">
      <c r="B119" s="245">
        <v>6</v>
      </c>
      <c r="C119" s="175" t="s">
        <v>333</v>
      </c>
      <c r="D119" s="245" t="s">
        <v>327</v>
      </c>
      <c r="E119" s="245">
        <v>12</v>
      </c>
      <c r="F119" s="322">
        <v>20000</v>
      </c>
      <c r="G119" s="323"/>
      <c r="N119" s="231"/>
    </row>
    <row r="120" spans="2:14" ht="15.65" x14ac:dyDescent="0.25">
      <c r="B120" s="245">
        <v>7</v>
      </c>
      <c r="C120" s="175" t="s">
        <v>334</v>
      </c>
      <c r="D120" s="245"/>
      <c r="E120" s="245">
        <v>12</v>
      </c>
      <c r="F120" s="322">
        <v>5000</v>
      </c>
      <c r="G120" s="323"/>
      <c r="N120" s="231"/>
    </row>
    <row r="121" spans="2:14" ht="15.65" x14ac:dyDescent="0.25">
      <c r="B121" s="245">
        <v>8</v>
      </c>
      <c r="C121" s="175" t="s">
        <v>335</v>
      </c>
      <c r="D121" s="245" t="s">
        <v>327</v>
      </c>
      <c r="E121" s="245"/>
      <c r="F121" s="322">
        <v>10000</v>
      </c>
      <c r="G121" s="323"/>
      <c r="N121" s="231"/>
    </row>
    <row r="122" spans="2:14" ht="15.65" x14ac:dyDescent="0.25">
      <c r="B122" s="245">
        <v>9</v>
      </c>
      <c r="C122" s="175" t="s">
        <v>336</v>
      </c>
      <c r="D122" s="245" t="s">
        <v>327</v>
      </c>
      <c r="E122" s="245">
        <v>1</v>
      </c>
      <c r="F122" s="322">
        <f>64900-50000</f>
        <v>14900</v>
      </c>
      <c r="G122" s="323"/>
      <c r="N122" s="231"/>
    </row>
    <row r="123" spans="2:14" ht="15.65" x14ac:dyDescent="0.25">
      <c r="B123" s="245"/>
      <c r="C123" s="174" t="s">
        <v>160</v>
      </c>
      <c r="D123" s="245" t="s">
        <v>58</v>
      </c>
      <c r="E123" s="245" t="s">
        <v>276</v>
      </c>
      <c r="F123" s="324">
        <f>F113+F114+F115+F116+F117+F118+F119+F120+F121+F122</f>
        <v>240000</v>
      </c>
      <c r="G123" s="325"/>
      <c r="J123" s="231"/>
      <c r="L123" s="231"/>
      <c r="M123" s="231"/>
      <c r="N123" s="231"/>
    </row>
    <row r="124" spans="2:14" x14ac:dyDescent="0.25">
      <c r="J124" s="231"/>
      <c r="L124" s="186"/>
      <c r="N124" s="180"/>
    </row>
    <row r="125" spans="2:14" x14ac:dyDescent="0.25">
      <c r="J125" s="231"/>
      <c r="L125" s="180"/>
      <c r="M125" s="231"/>
      <c r="N125" s="180"/>
    </row>
    <row r="126" spans="2:14" x14ac:dyDescent="0.25">
      <c r="B126" s="329" t="s">
        <v>337</v>
      </c>
      <c r="C126" s="329"/>
      <c r="D126" s="329"/>
      <c r="E126" s="329"/>
      <c r="F126" s="329"/>
      <c r="G126" s="329"/>
      <c r="L126" s="180"/>
      <c r="N126" s="180"/>
    </row>
    <row r="127" spans="2:14" x14ac:dyDescent="0.25">
      <c r="C127" s="10"/>
      <c r="D127" s="10"/>
      <c r="E127" s="10"/>
      <c r="F127" s="10"/>
      <c r="G127" s="10"/>
    </row>
    <row r="128" spans="2:14" ht="31.25" x14ac:dyDescent="0.25">
      <c r="B128" s="245" t="s">
        <v>271</v>
      </c>
      <c r="C128" s="245" t="s">
        <v>295</v>
      </c>
      <c r="D128" s="245" t="s">
        <v>338</v>
      </c>
      <c r="E128" s="245" t="s">
        <v>339</v>
      </c>
      <c r="F128" s="320"/>
      <c r="G128" s="320"/>
    </row>
    <row r="129" spans="2:16" ht="15.65" x14ac:dyDescent="0.25">
      <c r="B129" s="245">
        <v>1</v>
      </c>
      <c r="C129" s="245">
        <v>2</v>
      </c>
      <c r="D129" s="245">
        <v>3</v>
      </c>
      <c r="E129" s="245">
        <v>4</v>
      </c>
      <c r="F129" s="320"/>
      <c r="G129" s="320"/>
      <c r="L129" s="181"/>
    </row>
    <row r="130" spans="2:16" ht="21.1" customHeight="1" x14ac:dyDescent="0.25">
      <c r="B130" s="245">
        <v>1</v>
      </c>
      <c r="C130" s="175" t="s">
        <v>340</v>
      </c>
      <c r="D130" s="253">
        <v>1</v>
      </c>
      <c r="E130" s="252">
        <v>2233.31</v>
      </c>
      <c r="F130" s="320"/>
      <c r="G130" s="320"/>
      <c r="L130" s="188"/>
    </row>
    <row r="131" spans="2:16" ht="35.35" customHeight="1" x14ac:dyDescent="0.25">
      <c r="B131" s="245">
        <v>2</v>
      </c>
      <c r="C131" s="175" t="s">
        <v>341</v>
      </c>
      <c r="D131" s="253">
        <v>1</v>
      </c>
      <c r="E131" s="252">
        <v>37400</v>
      </c>
      <c r="F131" s="189"/>
      <c r="G131" s="190"/>
      <c r="H131" s="190"/>
      <c r="J131" s="231"/>
      <c r="L131" s="188"/>
      <c r="N131" s="231"/>
    </row>
    <row r="132" spans="2:16" ht="31.25" x14ac:dyDescent="0.25">
      <c r="B132" s="245">
        <v>3</v>
      </c>
      <c r="C132" s="175" t="s">
        <v>342</v>
      </c>
      <c r="D132" s="253">
        <v>1</v>
      </c>
      <c r="E132" s="252">
        <v>20541.689999999999</v>
      </c>
      <c r="F132" s="320"/>
      <c r="G132" s="320"/>
      <c r="J132" s="231"/>
      <c r="L132" s="188"/>
      <c r="N132" s="231"/>
    </row>
    <row r="133" spans="2:16" ht="32.299999999999997" customHeight="1" x14ac:dyDescent="0.25">
      <c r="B133" s="245">
        <v>4</v>
      </c>
      <c r="C133" s="175" t="s">
        <v>343</v>
      </c>
      <c r="D133" s="253">
        <v>1</v>
      </c>
      <c r="E133" s="252">
        <v>4000</v>
      </c>
      <c r="F133" s="255"/>
      <c r="G133" s="255"/>
      <c r="L133" s="188"/>
      <c r="N133" s="231"/>
    </row>
    <row r="134" spans="2:16" ht="25.5" customHeight="1" x14ac:dyDescent="0.25">
      <c r="B134" s="245">
        <v>5</v>
      </c>
      <c r="C134" s="175" t="s">
        <v>344</v>
      </c>
      <c r="D134" s="253">
        <v>1</v>
      </c>
      <c r="E134" s="252">
        <v>100000</v>
      </c>
      <c r="F134" s="255"/>
      <c r="G134" s="255"/>
      <c r="L134" s="188"/>
      <c r="N134" s="231"/>
    </row>
    <row r="135" spans="2:16" ht="31.25" x14ac:dyDescent="0.25">
      <c r="B135" s="245">
        <v>6</v>
      </c>
      <c r="C135" s="175" t="s">
        <v>345</v>
      </c>
      <c r="D135" s="253">
        <v>1</v>
      </c>
      <c r="E135" s="252">
        <v>20000</v>
      </c>
      <c r="F135" s="255"/>
      <c r="G135" s="255"/>
      <c r="L135" s="188"/>
      <c r="N135" s="231"/>
    </row>
    <row r="136" spans="2:16" ht="15.65" x14ac:dyDescent="0.25">
      <c r="B136" s="245">
        <v>8</v>
      </c>
      <c r="C136" s="175" t="s">
        <v>346</v>
      </c>
      <c r="D136" s="253">
        <v>1</v>
      </c>
      <c r="E136" s="252">
        <v>40000</v>
      </c>
      <c r="F136" s="255"/>
      <c r="G136" s="255"/>
      <c r="L136" s="188"/>
      <c r="N136" s="231"/>
    </row>
    <row r="137" spans="2:16" ht="15.65" x14ac:dyDescent="0.25">
      <c r="B137" s="245">
        <v>9</v>
      </c>
      <c r="C137" s="175" t="s">
        <v>347</v>
      </c>
      <c r="D137" s="253">
        <v>1</v>
      </c>
      <c r="E137" s="252">
        <f>191825+316410</f>
        <v>508235</v>
      </c>
      <c r="F137" s="255"/>
      <c r="G137" s="255"/>
      <c r="L137" s="188"/>
      <c r="N137" s="231"/>
    </row>
    <row r="138" spans="2:16" ht="15.65" x14ac:dyDescent="0.25">
      <c r="B138" s="245"/>
      <c r="C138" s="174" t="s">
        <v>160</v>
      </c>
      <c r="D138" s="245" t="s">
        <v>58</v>
      </c>
      <c r="E138" s="254">
        <f>E130+E131+E132+E133+E134+E135+E136+E137</f>
        <v>732410</v>
      </c>
      <c r="F138" s="320"/>
      <c r="G138" s="320"/>
      <c r="H138" s="231"/>
      <c r="L138" s="192"/>
      <c r="N138" s="186"/>
    </row>
    <row r="139" spans="2:16" x14ac:dyDescent="0.25">
      <c r="H139" s="231"/>
      <c r="J139" s="231"/>
      <c r="L139" s="186"/>
      <c r="N139" s="186"/>
    </row>
    <row r="140" spans="2:16" x14ac:dyDescent="0.25">
      <c r="H140" s="231"/>
      <c r="L140" s="186"/>
      <c r="N140" s="186"/>
    </row>
    <row r="141" spans="2:16" x14ac:dyDescent="0.25">
      <c r="B141" s="329" t="s">
        <v>348</v>
      </c>
      <c r="C141" s="329"/>
      <c r="D141" s="329"/>
      <c r="E141" s="329"/>
      <c r="F141" s="329"/>
      <c r="G141" s="329"/>
    </row>
    <row r="142" spans="2:16" x14ac:dyDescent="0.25">
      <c r="C142" s="10"/>
      <c r="D142" s="10"/>
      <c r="E142" s="10"/>
      <c r="F142" s="10"/>
      <c r="G142" s="10"/>
      <c r="H142" s="193"/>
      <c r="J142" s="194"/>
      <c r="L142" s="181"/>
      <c r="N142" s="180"/>
    </row>
    <row r="143" spans="2:16" ht="31.25" x14ac:dyDescent="0.25">
      <c r="B143" s="245" t="s">
        <v>271</v>
      </c>
      <c r="C143" s="245" t="s">
        <v>295</v>
      </c>
      <c r="D143" s="245" t="s">
        <v>349</v>
      </c>
      <c r="E143" s="245" t="s">
        <v>339</v>
      </c>
      <c r="F143" s="245" t="s">
        <v>377</v>
      </c>
      <c r="G143" s="190"/>
      <c r="N143" s="180"/>
      <c r="P143" s="231"/>
    </row>
    <row r="144" spans="2:16" ht="15.65" x14ac:dyDescent="0.25">
      <c r="B144" s="245">
        <v>1</v>
      </c>
      <c r="C144" s="245">
        <v>2</v>
      </c>
      <c r="D144" s="245">
        <v>3</v>
      </c>
      <c r="E144" s="245">
        <v>4</v>
      </c>
      <c r="F144" s="170"/>
      <c r="G144" s="190"/>
      <c r="N144" s="180"/>
    </row>
    <row r="145" spans="2:15" ht="15.65" x14ac:dyDescent="0.25">
      <c r="B145" s="245">
        <v>1</v>
      </c>
      <c r="C145" s="175" t="s">
        <v>350</v>
      </c>
      <c r="D145" s="253">
        <v>4</v>
      </c>
      <c r="E145" s="252">
        <v>28000</v>
      </c>
      <c r="F145" s="195">
        <f>D145*E145</f>
        <v>112000</v>
      </c>
      <c r="G145" s="190"/>
    </row>
    <row r="146" spans="2:15" ht="15.65" x14ac:dyDescent="0.25">
      <c r="B146" s="245">
        <v>2</v>
      </c>
      <c r="C146" s="175" t="s">
        <v>351</v>
      </c>
      <c r="D146" s="253">
        <v>100</v>
      </c>
      <c r="E146" s="252">
        <v>401.99990000000003</v>
      </c>
      <c r="F146" s="195">
        <f>D146*E146</f>
        <v>40199.990000000005</v>
      </c>
      <c r="G146" s="190"/>
      <c r="N146" s="231"/>
    </row>
    <row r="147" spans="2:15" ht="15.65" x14ac:dyDescent="0.25">
      <c r="B147" s="245">
        <v>3</v>
      </c>
      <c r="C147" s="175" t="s">
        <v>352</v>
      </c>
      <c r="D147" s="253">
        <v>400</v>
      </c>
      <c r="E147" s="252">
        <v>259.99</v>
      </c>
      <c r="F147" s="195">
        <f>D147*E147</f>
        <v>103996</v>
      </c>
      <c r="G147" s="190"/>
      <c r="N147" s="231"/>
    </row>
    <row r="148" spans="2:15" ht="15.65" x14ac:dyDescent="0.25">
      <c r="B148" s="245">
        <v>4</v>
      </c>
      <c r="C148" s="175" t="s">
        <v>353</v>
      </c>
      <c r="D148" s="253">
        <v>48</v>
      </c>
      <c r="E148" s="252">
        <v>2950</v>
      </c>
      <c r="F148" s="195">
        <f>D148*E148+139194</f>
        <v>280794</v>
      </c>
      <c r="G148" s="190"/>
      <c r="N148" s="231"/>
    </row>
    <row r="149" spans="2:15" ht="15.65" x14ac:dyDescent="0.25">
      <c r="B149" s="245">
        <v>5</v>
      </c>
      <c r="C149" s="175" t="s">
        <v>354</v>
      </c>
      <c r="D149" s="253">
        <v>50</v>
      </c>
      <c r="E149" s="252">
        <v>992.48</v>
      </c>
      <c r="F149" s="195">
        <f t="shared" ref="F149" si="10">D149*E149</f>
        <v>49624</v>
      </c>
      <c r="G149" s="190"/>
      <c r="L149" s="186"/>
    </row>
    <row r="150" spans="2:15" ht="15.65" x14ac:dyDescent="0.25">
      <c r="B150" s="245">
        <v>6</v>
      </c>
      <c r="C150" s="175" t="s">
        <v>355</v>
      </c>
      <c r="D150" s="253">
        <v>5</v>
      </c>
      <c r="E150" s="252">
        <v>73000</v>
      </c>
      <c r="F150" s="195">
        <f>D150*E150</f>
        <v>365000</v>
      </c>
      <c r="G150" s="190"/>
      <c r="L150" s="186"/>
    </row>
    <row r="151" spans="2:15" ht="15.65" x14ac:dyDescent="0.25">
      <c r="B151" s="245">
        <v>7</v>
      </c>
      <c r="C151" s="175" t="s">
        <v>356</v>
      </c>
      <c r="D151" s="253"/>
      <c r="E151" s="252"/>
      <c r="F151" s="195">
        <v>12580</v>
      </c>
      <c r="G151" s="190"/>
      <c r="L151" s="186"/>
    </row>
    <row r="152" spans="2:15" ht="15.65" x14ac:dyDescent="0.25">
      <c r="B152" s="245">
        <v>8</v>
      </c>
      <c r="C152" s="175" t="s">
        <v>357</v>
      </c>
      <c r="D152" s="253">
        <v>350</v>
      </c>
      <c r="E152" s="252">
        <v>1000</v>
      </c>
      <c r="F152" s="195">
        <f>D152*E152-67000</f>
        <v>283000</v>
      </c>
      <c r="G152" s="190"/>
      <c r="L152" s="186"/>
    </row>
    <row r="153" spans="2:15" ht="15.65" x14ac:dyDescent="0.25">
      <c r="B153" s="245">
        <v>9</v>
      </c>
      <c r="C153" s="175" t="s">
        <v>358</v>
      </c>
      <c r="D153" s="253">
        <v>5</v>
      </c>
      <c r="E153" s="252">
        <v>34000</v>
      </c>
      <c r="F153" s="195">
        <f>D153*E153</f>
        <v>170000</v>
      </c>
      <c r="G153" s="190"/>
      <c r="J153" s="231"/>
      <c r="K153" s="180"/>
      <c r="L153" s="180"/>
      <c r="M153" s="180"/>
      <c r="N153" s="180"/>
    </row>
    <row r="154" spans="2:15" ht="15.65" x14ac:dyDescent="0.25">
      <c r="B154" s="245"/>
      <c r="C154" s="174" t="s">
        <v>160</v>
      </c>
      <c r="D154" s="245" t="s">
        <v>58</v>
      </c>
      <c r="E154" s="245" t="s">
        <v>276</v>
      </c>
      <c r="F154" s="239">
        <f>F145+F146+F147+F148+F149+F150++F151+F152+F153+0.01</f>
        <v>1417194</v>
      </c>
      <c r="G154" s="190"/>
      <c r="H154" s="188"/>
      <c r="J154" s="231"/>
      <c r="K154" s="180"/>
      <c r="L154" s="180"/>
      <c r="M154" s="186"/>
      <c r="N154" s="186"/>
      <c r="O154" s="231"/>
    </row>
    <row r="155" spans="2:15" ht="15.65" x14ac:dyDescent="0.25">
      <c r="B155" s="255"/>
      <c r="C155" s="196"/>
      <c r="D155" s="255"/>
      <c r="E155" s="211"/>
      <c r="F155" s="211"/>
      <c r="G155" s="190"/>
      <c r="H155" s="188"/>
      <c r="J155" s="231"/>
      <c r="K155" s="180"/>
      <c r="L155" s="180"/>
      <c r="M155" s="186"/>
      <c r="N155" s="180"/>
      <c r="O155" s="231"/>
    </row>
    <row r="156" spans="2:15" ht="15.65" x14ac:dyDescent="0.25">
      <c r="B156" s="255"/>
      <c r="C156" s="196"/>
      <c r="D156" s="255"/>
      <c r="E156" s="190"/>
      <c r="F156" s="190"/>
      <c r="G156" s="190"/>
      <c r="H156" s="188"/>
      <c r="J156" s="231"/>
      <c r="K156" s="180"/>
      <c r="L156" s="180"/>
      <c r="M156" s="186"/>
      <c r="N156" s="180"/>
      <c r="O156" s="231"/>
    </row>
    <row r="157" spans="2:15" ht="14.95" customHeight="1" x14ac:dyDescent="0.25">
      <c r="E157" s="190"/>
      <c r="F157" s="190"/>
      <c r="G157" s="190"/>
      <c r="L157" s="186"/>
      <c r="N157" s="186"/>
    </row>
    <row r="158" spans="2:15" ht="15.65" x14ac:dyDescent="0.25">
      <c r="C158" s="287" t="s">
        <v>359</v>
      </c>
      <c r="D158" s="287"/>
      <c r="E158" s="287"/>
      <c r="F158" s="287"/>
      <c r="G158" s="287"/>
      <c r="H158" s="287"/>
      <c r="I158" s="287"/>
      <c r="J158" s="287"/>
      <c r="K158" s="287"/>
      <c r="L158" s="287"/>
      <c r="M158" s="287"/>
      <c r="N158" s="287"/>
    </row>
    <row r="159" spans="2:15" x14ac:dyDescent="0.25">
      <c r="B159" s="329"/>
      <c r="C159" s="329"/>
      <c r="D159" s="329"/>
      <c r="E159" s="329"/>
      <c r="F159" s="329"/>
      <c r="G159" s="329"/>
    </row>
    <row r="160" spans="2:15" ht="15.65" x14ac:dyDescent="0.25">
      <c r="C160" s="326" t="s">
        <v>360</v>
      </c>
      <c r="D160" s="329"/>
      <c r="E160" s="329"/>
      <c r="F160" s="329"/>
      <c r="G160" s="329"/>
      <c r="H160" s="329"/>
      <c r="I160" s="329"/>
      <c r="J160" s="329"/>
    </row>
    <row r="161" spans="2:25" ht="15.65" x14ac:dyDescent="0.25">
      <c r="B161" s="255"/>
      <c r="C161" s="255"/>
      <c r="D161" s="255"/>
      <c r="E161" s="255"/>
      <c r="F161" s="255"/>
      <c r="G161" s="190"/>
    </row>
    <row r="162" spans="2:25" x14ac:dyDescent="0.25">
      <c r="B162" s="328" t="s">
        <v>361</v>
      </c>
      <c r="C162" s="328"/>
      <c r="D162" s="328"/>
      <c r="E162" s="328"/>
      <c r="F162" s="328"/>
      <c r="G162" s="328"/>
      <c r="H162" s="328"/>
      <c r="I162" s="328"/>
      <c r="J162" s="328"/>
      <c r="K162" s="328"/>
      <c r="L162" s="328"/>
      <c r="M162" s="328"/>
    </row>
    <row r="163" spans="2:25" x14ac:dyDescent="0.25">
      <c r="B163" s="330" t="s">
        <v>362</v>
      </c>
      <c r="C163" s="330"/>
      <c r="D163" s="330"/>
      <c r="E163" s="330"/>
      <c r="F163" s="330"/>
      <c r="G163" s="330"/>
      <c r="H163" s="330"/>
      <c r="I163" s="330"/>
      <c r="J163" s="330"/>
      <c r="K163" s="330"/>
      <c r="L163" s="330"/>
      <c r="M163" s="330"/>
    </row>
    <row r="164" spans="2:25" ht="15.65" x14ac:dyDescent="0.25">
      <c r="B164" s="255"/>
      <c r="C164" s="255"/>
      <c r="D164" s="255"/>
      <c r="E164" s="255"/>
      <c r="F164" s="255"/>
      <c r="G164" s="190"/>
    </row>
    <row r="165" spans="2:25" ht="62.5" x14ac:dyDescent="0.25">
      <c r="B165" s="245" t="s">
        <v>271</v>
      </c>
      <c r="C165" s="331" t="s">
        <v>295</v>
      </c>
      <c r="D165" s="295"/>
      <c r="E165" s="245" t="s">
        <v>363</v>
      </c>
      <c r="F165" s="245" t="s">
        <v>268</v>
      </c>
      <c r="G165" s="245" t="s">
        <v>269</v>
      </c>
      <c r="H165" s="170" t="s">
        <v>364</v>
      </c>
    </row>
    <row r="166" spans="2:25" ht="15.65" x14ac:dyDescent="0.25">
      <c r="B166" s="245">
        <v>1</v>
      </c>
      <c r="C166" s="331">
        <v>2</v>
      </c>
      <c r="D166" s="295"/>
      <c r="E166" s="245">
        <v>3</v>
      </c>
      <c r="F166" s="244">
        <v>4</v>
      </c>
      <c r="G166" s="244">
        <v>5</v>
      </c>
      <c r="H166" s="244">
        <v>6</v>
      </c>
    </row>
    <row r="167" spans="2:25" ht="31.6" customHeight="1" x14ac:dyDescent="0.25">
      <c r="B167" s="245">
        <v>1</v>
      </c>
      <c r="C167" s="338" t="s">
        <v>400</v>
      </c>
      <c r="D167" s="339"/>
      <c r="E167" s="242">
        <v>12126.02</v>
      </c>
      <c r="F167" s="244">
        <v>23</v>
      </c>
      <c r="G167" s="244" t="s">
        <v>58</v>
      </c>
      <c r="H167" s="244">
        <v>804085.5</v>
      </c>
    </row>
    <row r="168" spans="2:25" ht="15.65" x14ac:dyDescent="0.25">
      <c r="B168" s="245">
        <v>2</v>
      </c>
      <c r="C168" s="336" t="s">
        <v>388</v>
      </c>
      <c r="D168" s="337"/>
      <c r="E168" s="252">
        <v>75</v>
      </c>
      <c r="F168" s="197">
        <v>109</v>
      </c>
      <c r="G168" s="197" t="s">
        <v>58</v>
      </c>
      <c r="H168" s="197">
        <v>42072.67</v>
      </c>
      <c r="J168" s="231"/>
      <c r="L168" s="231"/>
    </row>
    <row r="169" spans="2:25" ht="15.65" x14ac:dyDescent="0.25">
      <c r="B169" s="245"/>
      <c r="C169" s="334" t="s">
        <v>160</v>
      </c>
      <c r="D169" s="335"/>
      <c r="E169" s="252" t="s">
        <v>58</v>
      </c>
      <c r="F169" s="252" t="s">
        <v>58</v>
      </c>
      <c r="G169" s="252" t="s">
        <v>58</v>
      </c>
      <c r="H169" s="238">
        <f>H168+H167+0.21</f>
        <v>846158.38</v>
      </c>
      <c r="J169" s="231"/>
      <c r="L169" s="231"/>
    </row>
    <row r="170" spans="2:25" ht="15.65" x14ac:dyDescent="0.25">
      <c r="B170" s="255"/>
      <c r="C170" s="198"/>
      <c r="D170" s="256"/>
      <c r="E170" s="200"/>
      <c r="F170" s="201"/>
      <c r="G170" s="190"/>
      <c r="L170" s="231"/>
      <c r="M170" s="231"/>
    </row>
    <row r="171" spans="2:25" ht="15.65" x14ac:dyDescent="0.25">
      <c r="B171" s="255"/>
      <c r="C171" s="320" t="s">
        <v>294</v>
      </c>
      <c r="D171" s="320"/>
      <c r="E171" s="320"/>
      <c r="F171" s="320"/>
      <c r="G171" s="320"/>
      <c r="H171" s="320"/>
      <c r="I171" s="320"/>
      <c r="J171" s="320"/>
      <c r="M171" s="231"/>
      <c r="N171" s="328"/>
      <c r="O171" s="328"/>
      <c r="P171" s="328"/>
      <c r="Q171" s="328"/>
      <c r="R171" s="328"/>
      <c r="S171" s="328"/>
      <c r="T171" s="328"/>
      <c r="U171" s="328"/>
      <c r="V171" s="328"/>
      <c r="W171" s="328"/>
      <c r="X171" s="328"/>
      <c r="Y171" s="328"/>
    </row>
    <row r="172" spans="2:25" ht="15.65" x14ac:dyDescent="0.25">
      <c r="B172" s="255"/>
      <c r="C172" s="198"/>
      <c r="D172" s="256"/>
      <c r="E172" s="200"/>
      <c r="F172" s="201"/>
      <c r="G172" s="190"/>
      <c r="N172" s="330"/>
      <c r="O172" s="330"/>
      <c r="P172" s="330"/>
      <c r="Q172" s="330"/>
      <c r="R172" s="330"/>
      <c r="S172" s="330"/>
      <c r="T172" s="330"/>
      <c r="U172" s="330"/>
      <c r="V172" s="330"/>
      <c r="W172" s="330"/>
      <c r="X172" s="330"/>
      <c r="Y172" s="330"/>
    </row>
    <row r="173" spans="2:25" x14ac:dyDescent="0.25">
      <c r="B173" s="328" t="s">
        <v>365</v>
      </c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</row>
    <row r="174" spans="2:25" x14ac:dyDescent="0.25">
      <c r="B174" s="332" t="s">
        <v>366</v>
      </c>
      <c r="C174" s="332"/>
      <c r="D174" s="332"/>
      <c r="E174" s="332"/>
      <c r="F174" s="332"/>
      <c r="G174" s="332"/>
      <c r="H174" s="332"/>
      <c r="I174" s="332"/>
      <c r="J174" s="332"/>
      <c r="K174" s="332"/>
      <c r="L174" s="332"/>
      <c r="M174" s="332"/>
    </row>
    <row r="175" spans="2:25" ht="15.65" x14ac:dyDescent="0.25">
      <c r="B175" s="255"/>
      <c r="C175" s="198"/>
      <c r="D175" s="256"/>
      <c r="E175" s="200"/>
      <c r="F175" s="201"/>
      <c r="G175" s="190"/>
      <c r="L175" s="186"/>
    </row>
    <row r="176" spans="2:25" ht="31.25" x14ac:dyDescent="0.25">
      <c r="B176" s="245" t="s">
        <v>271</v>
      </c>
      <c r="C176" s="245" t="s">
        <v>295</v>
      </c>
      <c r="D176" s="245" t="s">
        <v>296</v>
      </c>
      <c r="E176" s="245" t="s">
        <v>297</v>
      </c>
      <c r="F176" s="289" t="s">
        <v>298</v>
      </c>
      <c r="G176" s="289"/>
      <c r="L176" s="186"/>
    </row>
    <row r="177" spans="2:15" ht="15.65" x14ac:dyDescent="0.25">
      <c r="B177" s="245">
        <v>1</v>
      </c>
      <c r="C177" s="245">
        <v>2</v>
      </c>
      <c r="D177" s="245">
        <v>3</v>
      </c>
      <c r="E177" s="245">
        <v>4</v>
      </c>
      <c r="F177" s="289">
        <v>5</v>
      </c>
      <c r="G177" s="289"/>
      <c r="J177" s="186"/>
      <c r="L177" s="186"/>
    </row>
    <row r="178" spans="2:15" ht="39.1" customHeight="1" x14ac:dyDescent="0.25">
      <c r="B178" s="245">
        <v>1</v>
      </c>
      <c r="C178" s="175" t="s">
        <v>367</v>
      </c>
      <c r="D178" s="245" t="s">
        <v>206</v>
      </c>
      <c r="E178" s="245" t="s">
        <v>206</v>
      </c>
      <c r="F178" s="333">
        <v>1030000</v>
      </c>
      <c r="G178" s="333"/>
      <c r="J178" s="186"/>
      <c r="L178" s="186"/>
      <c r="M178" s="161"/>
    </row>
    <row r="179" spans="2:15" ht="15.65" x14ac:dyDescent="0.25">
      <c r="B179" s="245">
        <v>2</v>
      </c>
      <c r="C179" s="175" t="s">
        <v>390</v>
      </c>
      <c r="D179" s="245" t="s">
        <v>206</v>
      </c>
      <c r="E179" s="245" t="s">
        <v>206</v>
      </c>
      <c r="F179" s="322">
        <f>85291.05*2</f>
        <v>170582.1</v>
      </c>
      <c r="G179" s="323"/>
      <c r="J179" s="186"/>
      <c r="L179" s="186"/>
    </row>
    <row r="180" spans="2:15" ht="15.65" x14ac:dyDescent="0.25">
      <c r="B180" s="245"/>
      <c r="C180" s="174" t="s">
        <v>160</v>
      </c>
      <c r="D180" s="245"/>
      <c r="E180" s="245" t="s">
        <v>276</v>
      </c>
      <c r="F180" s="324">
        <f>F178+F179</f>
        <v>1200582.1000000001</v>
      </c>
      <c r="G180" s="325"/>
      <c r="J180" s="186"/>
    </row>
    <row r="182" spans="2:15" ht="15.65" x14ac:dyDescent="0.25">
      <c r="C182" s="326" t="s">
        <v>368</v>
      </c>
      <c r="D182" s="327"/>
      <c r="E182" s="327"/>
      <c r="F182" s="327"/>
      <c r="G182" s="327"/>
      <c r="H182" s="327"/>
      <c r="I182" s="327"/>
      <c r="J182" s="327"/>
    </row>
    <row r="184" spans="2:15" x14ac:dyDescent="0.25">
      <c r="B184" s="328" t="s">
        <v>369</v>
      </c>
      <c r="C184" s="328"/>
      <c r="D184" s="328"/>
      <c r="E184" s="328"/>
      <c r="F184" s="328"/>
      <c r="G184" s="328"/>
      <c r="H184" s="328"/>
      <c r="I184" s="328"/>
      <c r="J184" s="328"/>
      <c r="K184" s="328"/>
      <c r="L184" s="328"/>
      <c r="M184" s="328"/>
    </row>
    <row r="185" spans="2:15" x14ac:dyDescent="0.25">
      <c r="B185" s="328" t="s">
        <v>370</v>
      </c>
      <c r="C185" s="328"/>
      <c r="D185" s="328"/>
      <c r="E185" s="328"/>
      <c r="F185" s="328"/>
      <c r="G185" s="328"/>
      <c r="H185" s="328"/>
      <c r="I185" s="328"/>
      <c r="J185" s="328"/>
      <c r="K185" s="328"/>
      <c r="L185" s="328"/>
      <c r="M185" s="328"/>
    </row>
    <row r="187" spans="2:15" ht="31.25" x14ac:dyDescent="0.25">
      <c r="B187" s="245" t="s">
        <v>271</v>
      </c>
      <c r="C187" s="245" t="s">
        <v>295</v>
      </c>
      <c r="D187" s="245" t="s">
        <v>338</v>
      </c>
      <c r="E187" s="245" t="s">
        <v>339</v>
      </c>
    </row>
    <row r="188" spans="2:15" ht="15.65" x14ac:dyDescent="0.25">
      <c r="B188" s="245">
        <v>1</v>
      </c>
      <c r="C188" s="245">
        <v>2</v>
      </c>
      <c r="D188" s="245">
        <v>3</v>
      </c>
      <c r="E188" s="245">
        <v>4</v>
      </c>
    </row>
    <row r="189" spans="2:15" ht="83.25" customHeight="1" x14ac:dyDescent="0.25">
      <c r="B189" s="245">
        <v>1</v>
      </c>
      <c r="C189" s="175" t="s">
        <v>374</v>
      </c>
      <c r="D189" s="245">
        <v>1</v>
      </c>
      <c r="E189" s="252">
        <v>995401.94</v>
      </c>
    </row>
    <row r="190" spans="2:15" ht="23.95" customHeight="1" x14ac:dyDescent="0.25">
      <c r="B190" s="245">
        <v>2</v>
      </c>
      <c r="C190" s="175" t="s">
        <v>371</v>
      </c>
      <c r="D190" s="245">
        <v>1</v>
      </c>
      <c r="E190" s="252">
        <v>122316.28</v>
      </c>
      <c r="F190" s="202"/>
      <c r="G190" s="228"/>
      <c r="J190" s="231">
        <f>E191+F180+H169</f>
        <v>3164458.7</v>
      </c>
      <c r="N190" s="231">
        <f>J190+F154+E138+F123+H107+H96+E79+K59+P50</f>
        <v>74264263.960809976</v>
      </c>
    </row>
    <row r="191" spans="2:15" ht="15.65" x14ac:dyDescent="0.25">
      <c r="B191" s="245"/>
      <c r="C191" s="174" t="s">
        <v>160</v>
      </c>
      <c r="D191" s="245" t="s">
        <v>276</v>
      </c>
      <c r="E191" s="254">
        <f>E189+E190</f>
        <v>1117718.22</v>
      </c>
      <c r="F191" s="168"/>
      <c r="G191" s="168"/>
      <c r="L191" s="231"/>
      <c r="M191" s="186"/>
      <c r="N191" s="231"/>
      <c r="O191" s="231"/>
    </row>
    <row r="192" spans="2:15" ht="30.75" customHeight="1" x14ac:dyDescent="0.25">
      <c r="B192" s="255"/>
      <c r="C192" s="255"/>
      <c r="D192" s="255"/>
      <c r="E192" s="255"/>
      <c r="F192" s="255"/>
      <c r="G192" s="190"/>
      <c r="H192" s="203"/>
      <c r="M192" s="180"/>
    </row>
    <row r="193" spans="2:15" ht="15.8" customHeight="1" x14ac:dyDescent="0.25">
      <c r="B193" s="255"/>
      <c r="C193" s="198" t="s">
        <v>375</v>
      </c>
      <c r="D193" s="320" t="s">
        <v>376</v>
      </c>
      <c r="E193" s="320"/>
      <c r="F193" s="320" t="s">
        <v>401</v>
      </c>
      <c r="G193" s="320"/>
      <c r="N193" s="231"/>
      <c r="O193" s="231"/>
    </row>
    <row r="194" spans="2:15" ht="15.65" x14ac:dyDescent="0.25">
      <c r="B194" s="255"/>
      <c r="C194" s="198"/>
      <c r="D194" s="321" t="s">
        <v>161</v>
      </c>
      <c r="E194" s="321"/>
      <c r="F194" s="201"/>
      <c r="G194" s="190"/>
      <c r="M194" s="180"/>
    </row>
    <row r="195" spans="2:15" ht="15.65" x14ac:dyDescent="0.25">
      <c r="B195" s="255"/>
      <c r="C195" s="198"/>
      <c r="D195" s="256"/>
      <c r="E195" s="200"/>
      <c r="F195" s="201"/>
      <c r="G195" s="190"/>
      <c r="M195" s="180"/>
      <c r="O195" s="231"/>
    </row>
    <row r="196" spans="2:15" x14ac:dyDescent="0.25">
      <c r="M196" s="180"/>
    </row>
  </sheetData>
  <autoFilter ref="B13:P13">
    <filterColumn colId="4" showButton="0"/>
    <filterColumn colId="6" showButton="0"/>
    <filterColumn colId="8" showButton="0"/>
  </autoFilter>
  <mergeCells count="234">
    <mergeCell ref="D193:E193"/>
    <mergeCell ref="F193:G193"/>
    <mergeCell ref="D194:E194"/>
    <mergeCell ref="F178:G178"/>
    <mergeCell ref="F179:G179"/>
    <mergeCell ref="F180:G180"/>
    <mergeCell ref="C182:J182"/>
    <mergeCell ref="B184:M184"/>
    <mergeCell ref="B185:M185"/>
    <mergeCell ref="N171:Y171"/>
    <mergeCell ref="N172:Y172"/>
    <mergeCell ref="B173:M173"/>
    <mergeCell ref="B174:M174"/>
    <mergeCell ref="F176:G176"/>
    <mergeCell ref="F177:G177"/>
    <mergeCell ref="C165:D165"/>
    <mergeCell ref="C166:D166"/>
    <mergeCell ref="C167:D167"/>
    <mergeCell ref="C168:D168"/>
    <mergeCell ref="C169:D169"/>
    <mergeCell ref="C171:J171"/>
    <mergeCell ref="B141:G141"/>
    <mergeCell ref="C158:N158"/>
    <mergeCell ref="B159:G159"/>
    <mergeCell ref="C160:J160"/>
    <mergeCell ref="B162:M162"/>
    <mergeCell ref="B163:M163"/>
    <mergeCell ref="B126:G126"/>
    <mergeCell ref="F128:G128"/>
    <mergeCell ref="F129:G129"/>
    <mergeCell ref="F130:G130"/>
    <mergeCell ref="F132:G132"/>
    <mergeCell ref="F138:G138"/>
    <mergeCell ref="F118:G118"/>
    <mergeCell ref="F119:G119"/>
    <mergeCell ref="F120:G120"/>
    <mergeCell ref="F121:G121"/>
    <mergeCell ref="F122:G122"/>
    <mergeCell ref="F123:G123"/>
    <mergeCell ref="F112:G112"/>
    <mergeCell ref="F113:G113"/>
    <mergeCell ref="F114:G114"/>
    <mergeCell ref="F115:G115"/>
    <mergeCell ref="F116:G116"/>
    <mergeCell ref="F117:G117"/>
    <mergeCell ref="F104:G104"/>
    <mergeCell ref="F105:G105"/>
    <mergeCell ref="F106:G106"/>
    <mergeCell ref="F107:G107"/>
    <mergeCell ref="B109:G109"/>
    <mergeCell ref="F111:G111"/>
    <mergeCell ref="F96:G96"/>
    <mergeCell ref="B98:G98"/>
    <mergeCell ref="F100:G100"/>
    <mergeCell ref="F101:G101"/>
    <mergeCell ref="F102:G102"/>
    <mergeCell ref="F103:G103"/>
    <mergeCell ref="F90:G90"/>
    <mergeCell ref="F91:G91"/>
    <mergeCell ref="F92:G92"/>
    <mergeCell ref="F93:G93"/>
    <mergeCell ref="F94:G94"/>
    <mergeCell ref="F95:G95"/>
    <mergeCell ref="B81:H81"/>
    <mergeCell ref="B83:M83"/>
    <mergeCell ref="B84:M84"/>
    <mergeCell ref="B86:G86"/>
    <mergeCell ref="F88:G88"/>
    <mergeCell ref="F89:G89"/>
    <mergeCell ref="B61:M61"/>
    <mergeCell ref="B67:B68"/>
    <mergeCell ref="D67:D68"/>
    <mergeCell ref="E67:E68"/>
    <mergeCell ref="B72:B73"/>
    <mergeCell ref="D72:D73"/>
    <mergeCell ref="E72:E73"/>
    <mergeCell ref="D58:F58"/>
    <mergeCell ref="G58:H58"/>
    <mergeCell ref="I58:J58"/>
    <mergeCell ref="K58:M58"/>
    <mergeCell ref="D59:F59"/>
    <mergeCell ref="G59:H59"/>
    <mergeCell ref="I59:J59"/>
    <mergeCell ref="K59:M59"/>
    <mergeCell ref="D56:F56"/>
    <mergeCell ref="G56:H56"/>
    <mergeCell ref="I56:J56"/>
    <mergeCell ref="K56:M56"/>
    <mergeCell ref="D57:F57"/>
    <mergeCell ref="G57:H57"/>
    <mergeCell ref="I57:J57"/>
    <mergeCell ref="K57:M57"/>
    <mergeCell ref="C52:L52"/>
    <mergeCell ref="D54:F54"/>
    <mergeCell ref="G54:H54"/>
    <mergeCell ref="I54:J54"/>
    <mergeCell ref="K54:M54"/>
    <mergeCell ref="D55:F55"/>
    <mergeCell ref="G55:H55"/>
    <mergeCell ref="I55:J55"/>
    <mergeCell ref="K55:M55"/>
    <mergeCell ref="F49:G49"/>
    <mergeCell ref="H49:I49"/>
    <mergeCell ref="J49:K49"/>
    <mergeCell ref="F50:G50"/>
    <mergeCell ref="H50:I50"/>
    <mergeCell ref="J50:K50"/>
    <mergeCell ref="F47:G47"/>
    <mergeCell ref="H47:I47"/>
    <mergeCell ref="J47:K47"/>
    <mergeCell ref="F48:G48"/>
    <mergeCell ref="H48:I48"/>
    <mergeCell ref="J48:K48"/>
    <mergeCell ref="F45:G45"/>
    <mergeCell ref="H45:I45"/>
    <mergeCell ref="J45:K45"/>
    <mergeCell ref="F46:G46"/>
    <mergeCell ref="H46:I46"/>
    <mergeCell ref="J46:K46"/>
    <mergeCell ref="F43:G43"/>
    <mergeCell ref="H43:I43"/>
    <mergeCell ref="J43:K43"/>
    <mergeCell ref="F44:G44"/>
    <mergeCell ref="H44:I44"/>
    <mergeCell ref="J44:K44"/>
    <mergeCell ref="F41:G41"/>
    <mergeCell ref="H41:I41"/>
    <mergeCell ref="J41:K41"/>
    <mergeCell ref="F42:G42"/>
    <mergeCell ref="H42:I42"/>
    <mergeCell ref="J42:K42"/>
    <mergeCell ref="F39:G39"/>
    <mergeCell ref="H39:I39"/>
    <mergeCell ref="J39:K39"/>
    <mergeCell ref="F40:G40"/>
    <mergeCell ref="H40:I40"/>
    <mergeCell ref="J40:K40"/>
    <mergeCell ref="F37:G37"/>
    <mergeCell ref="H37:I37"/>
    <mergeCell ref="J37:K37"/>
    <mergeCell ref="F38:G38"/>
    <mergeCell ref="H38:I38"/>
    <mergeCell ref="J38:K38"/>
    <mergeCell ref="F35:G35"/>
    <mergeCell ref="H35:I35"/>
    <mergeCell ref="J35:K35"/>
    <mergeCell ref="F36:G36"/>
    <mergeCell ref="H36:I36"/>
    <mergeCell ref="J36:K36"/>
    <mergeCell ref="F33:G33"/>
    <mergeCell ref="H33:I33"/>
    <mergeCell ref="J33:K33"/>
    <mergeCell ref="F34:G34"/>
    <mergeCell ref="H34:I34"/>
    <mergeCell ref="J34:K34"/>
    <mergeCell ref="F31:G31"/>
    <mergeCell ref="H31:I31"/>
    <mergeCell ref="J31:K31"/>
    <mergeCell ref="F32:G32"/>
    <mergeCell ref="H32:I32"/>
    <mergeCell ref="J32:K32"/>
    <mergeCell ref="F29:G29"/>
    <mergeCell ref="H29:I29"/>
    <mergeCell ref="J29:K29"/>
    <mergeCell ref="F30:G30"/>
    <mergeCell ref="H30:I30"/>
    <mergeCell ref="J30:K30"/>
    <mergeCell ref="F27:G27"/>
    <mergeCell ref="H27:I27"/>
    <mergeCell ref="J27:K27"/>
    <mergeCell ref="F28:G28"/>
    <mergeCell ref="H28:I28"/>
    <mergeCell ref="J28:K28"/>
    <mergeCell ref="F25:G25"/>
    <mergeCell ref="H25:I25"/>
    <mergeCell ref="J25:K25"/>
    <mergeCell ref="F26:G26"/>
    <mergeCell ref="H26:I26"/>
    <mergeCell ref="J26:K26"/>
    <mergeCell ref="F23:G23"/>
    <mergeCell ref="H23:I23"/>
    <mergeCell ref="J23:K23"/>
    <mergeCell ref="F24:G24"/>
    <mergeCell ref="H24:I24"/>
    <mergeCell ref="J24:K24"/>
    <mergeCell ref="F21:G21"/>
    <mergeCell ref="H21:I21"/>
    <mergeCell ref="J21:K21"/>
    <mergeCell ref="F22:G22"/>
    <mergeCell ref="H22:I22"/>
    <mergeCell ref="J22:K22"/>
    <mergeCell ref="F19:G19"/>
    <mergeCell ref="H19:I19"/>
    <mergeCell ref="J19:K19"/>
    <mergeCell ref="F20:G20"/>
    <mergeCell ref="H20:I20"/>
    <mergeCell ref="J20:K20"/>
    <mergeCell ref="F17:G17"/>
    <mergeCell ref="H17:I17"/>
    <mergeCell ref="J17:K17"/>
    <mergeCell ref="F18:G18"/>
    <mergeCell ref="H18:I18"/>
    <mergeCell ref="J18:K18"/>
    <mergeCell ref="F15:G15"/>
    <mergeCell ref="H15:I15"/>
    <mergeCell ref="J15:K15"/>
    <mergeCell ref="F16:G16"/>
    <mergeCell ref="H16:I16"/>
    <mergeCell ref="J16:K16"/>
    <mergeCell ref="F13:G13"/>
    <mergeCell ref="H13:I13"/>
    <mergeCell ref="J13:K13"/>
    <mergeCell ref="F14:G14"/>
    <mergeCell ref="H14:I14"/>
    <mergeCell ref="J14:K14"/>
    <mergeCell ref="M10:M12"/>
    <mergeCell ref="N10:N12"/>
    <mergeCell ref="O10:O12"/>
    <mergeCell ref="P10:P12"/>
    <mergeCell ref="E11:E12"/>
    <mergeCell ref="F11:K11"/>
    <mergeCell ref="F12:G12"/>
    <mergeCell ref="H12:I12"/>
    <mergeCell ref="J12:K12"/>
    <mergeCell ref="B2:N2"/>
    <mergeCell ref="B4:M4"/>
    <mergeCell ref="B5:M5"/>
    <mergeCell ref="B6:M6"/>
    <mergeCell ref="E8:L8"/>
    <mergeCell ref="B10:B12"/>
    <mergeCell ref="C10:C12"/>
    <mergeCell ref="D10:D12"/>
    <mergeCell ref="E10:K10"/>
    <mergeCell ref="L10:L12"/>
  </mergeCells>
  <hyperlinks>
    <hyperlink ref="C76" location="P1256" display="P1256"/>
    <hyperlink ref="C77" location="P1256" display="P1256"/>
  </hyperlinks>
  <pageMargins left="0.70866141732283472" right="0.70866141732283472" top="0.74803149606299213" bottom="0.74803149606299213" header="0.31496062992125984" footer="0.31496062992125984"/>
  <pageSetup paperSize="9" scale="25" orientation="portrait" r:id="rId1"/>
  <rowBreaks count="1" manualBreakCount="1">
    <brk id="15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9"/>
  <sheetViews>
    <sheetView topLeftCell="A49" zoomScale="85" zoomScaleNormal="85" workbookViewId="0">
      <selection activeCell="D15" sqref="D15"/>
    </sheetView>
  </sheetViews>
  <sheetFormatPr defaultRowHeight="14.3" x14ac:dyDescent="0.25"/>
  <cols>
    <col min="1" max="1" width="58.625" customWidth="1"/>
    <col min="2" max="2" width="35.75" customWidth="1"/>
  </cols>
  <sheetData>
    <row r="1" spans="1:2" x14ac:dyDescent="0.25">
      <c r="A1" s="288" t="s">
        <v>3</v>
      </c>
      <c r="B1" s="288"/>
    </row>
    <row r="2" spans="1:2" x14ac:dyDescent="0.25">
      <c r="A2" s="288" t="s">
        <v>4</v>
      </c>
      <c r="B2" s="288"/>
    </row>
    <row r="3" spans="1:2" x14ac:dyDescent="0.25">
      <c r="A3" s="28"/>
      <c r="B3" s="10"/>
    </row>
    <row r="4" spans="1:2" x14ac:dyDescent="0.25">
      <c r="A4" s="288" t="s">
        <v>5</v>
      </c>
      <c r="B4" s="288"/>
    </row>
    <row r="5" spans="1:2" x14ac:dyDescent="0.25">
      <c r="A5" s="288" t="s">
        <v>411</v>
      </c>
      <c r="B5" s="288"/>
    </row>
    <row r="6" spans="1:2" x14ac:dyDescent="0.25">
      <c r="A6" s="288" t="s">
        <v>6</v>
      </c>
      <c r="B6" s="288"/>
    </row>
    <row r="7" spans="1:2" x14ac:dyDescent="0.25">
      <c r="A7" s="28"/>
      <c r="B7" s="10"/>
    </row>
    <row r="8" spans="1:2" ht="20.399999999999999" customHeight="1" x14ac:dyDescent="0.25">
      <c r="A8" s="33" t="s">
        <v>7</v>
      </c>
      <c r="B8" s="33" t="s">
        <v>8</v>
      </c>
    </row>
    <row r="9" spans="1:2" ht="18.7" customHeight="1" x14ac:dyDescent="0.25">
      <c r="A9" s="34" t="s">
        <v>9</v>
      </c>
      <c r="B9" s="119">
        <v>34109828.369999997</v>
      </c>
    </row>
    <row r="10" spans="1:2" x14ac:dyDescent="0.25">
      <c r="A10" s="34" t="s">
        <v>10</v>
      </c>
      <c r="B10" s="119"/>
    </row>
    <row r="11" spans="1:2" ht="33.65" customHeight="1" x14ac:dyDescent="0.25">
      <c r="A11" s="34" t="s">
        <v>11</v>
      </c>
      <c r="B11" s="119">
        <f>B13+B17+B18</f>
        <v>34109828.369999997</v>
      </c>
    </row>
    <row r="12" spans="1:2" ht="18.7" customHeight="1" x14ac:dyDescent="0.25">
      <c r="A12" s="35" t="s">
        <v>12</v>
      </c>
      <c r="B12" s="119"/>
    </row>
    <row r="13" spans="1:2" ht="49.1" customHeight="1" x14ac:dyDescent="0.25">
      <c r="A13" s="34" t="s">
        <v>13</v>
      </c>
      <c r="B13" s="119">
        <v>14137327.18</v>
      </c>
    </row>
    <row r="14" spans="1:2" ht="53" customHeight="1" x14ac:dyDescent="0.25">
      <c r="A14" s="34" t="s">
        <v>14</v>
      </c>
      <c r="B14" s="119"/>
    </row>
    <row r="15" spans="1:2" ht="58.6" customHeight="1" x14ac:dyDescent="0.25">
      <c r="A15" s="34" t="s">
        <v>15</v>
      </c>
      <c r="B15" s="119"/>
    </row>
    <row r="16" spans="1:2" ht="35.5" customHeight="1" x14ac:dyDescent="0.25">
      <c r="A16" s="34" t="s">
        <v>16</v>
      </c>
      <c r="B16" s="119"/>
    </row>
    <row r="17" spans="1:2" ht="35.5" customHeight="1" x14ac:dyDescent="0.25">
      <c r="A17" s="34" t="s">
        <v>17</v>
      </c>
      <c r="B17" s="119">
        <v>15036874.619999999</v>
      </c>
    </row>
    <row r="18" spans="1:2" ht="36" customHeight="1" x14ac:dyDescent="0.25">
      <c r="A18" s="34" t="s">
        <v>18</v>
      </c>
      <c r="B18" s="119">
        <v>4935626.57</v>
      </c>
    </row>
    <row r="19" spans="1:2" ht="18.7" customHeight="1" x14ac:dyDescent="0.25">
      <c r="A19" s="35" t="s">
        <v>12</v>
      </c>
      <c r="B19" s="119"/>
    </row>
    <row r="20" spans="1:2" ht="35.5" customHeight="1" x14ac:dyDescent="0.25">
      <c r="A20" s="34" t="s">
        <v>19</v>
      </c>
      <c r="B20" s="119">
        <v>329699.99</v>
      </c>
    </row>
    <row r="21" spans="1:2" ht="45.7" customHeight="1" x14ac:dyDescent="0.25">
      <c r="A21" s="34" t="s">
        <v>20</v>
      </c>
      <c r="B21" s="119"/>
    </row>
    <row r="22" spans="1:2" ht="53.5" customHeight="1" x14ac:dyDescent="0.25">
      <c r="A22" s="34" t="s">
        <v>21</v>
      </c>
      <c r="B22" s="119"/>
    </row>
    <row r="23" spans="1:2" ht="49.95" customHeight="1" x14ac:dyDescent="0.25">
      <c r="A23" s="34" t="s">
        <v>22</v>
      </c>
      <c r="B23" s="119"/>
    </row>
    <row r="24" spans="1:2" ht="35" customHeight="1" x14ac:dyDescent="0.25">
      <c r="A24" s="34" t="s">
        <v>23</v>
      </c>
      <c r="B24" s="119">
        <v>19379.2</v>
      </c>
    </row>
    <row r="25" spans="1:2" ht="21.6" customHeight="1" x14ac:dyDescent="0.25">
      <c r="A25" s="34" t="s">
        <v>24</v>
      </c>
      <c r="B25" s="119">
        <f>B27+B31+B32+B33</f>
        <v>0</v>
      </c>
    </row>
    <row r="26" spans="1:2" x14ac:dyDescent="0.25">
      <c r="A26" s="35" t="s">
        <v>10</v>
      </c>
      <c r="B26" s="115"/>
    </row>
    <row r="27" spans="1:2" ht="17.5" customHeight="1" x14ac:dyDescent="0.25">
      <c r="A27" s="34" t="s">
        <v>25</v>
      </c>
      <c r="B27" s="115"/>
    </row>
    <row r="28" spans="1:2" x14ac:dyDescent="0.25">
      <c r="A28" s="35" t="s">
        <v>12</v>
      </c>
      <c r="B28" s="115"/>
    </row>
    <row r="29" spans="1:2" ht="20.399999999999999" customHeight="1" x14ac:dyDescent="0.25">
      <c r="A29" s="34" t="s">
        <v>26</v>
      </c>
      <c r="B29" s="115"/>
    </row>
    <row r="30" spans="1:2" ht="30.1" customHeight="1" x14ac:dyDescent="0.25">
      <c r="A30" s="34" t="s">
        <v>27</v>
      </c>
      <c r="B30" s="115"/>
    </row>
    <row r="31" spans="1:2" ht="26" customHeight="1" x14ac:dyDescent="0.25">
      <c r="A31" s="34" t="s">
        <v>28</v>
      </c>
      <c r="B31" s="115"/>
    </row>
    <row r="32" spans="1:2" ht="32.450000000000003" customHeight="1" x14ac:dyDescent="0.25">
      <c r="A32" s="34" t="s">
        <v>29</v>
      </c>
      <c r="B32" s="115"/>
    </row>
    <row r="33" spans="1:2" ht="20.399999999999999" customHeight="1" x14ac:dyDescent="0.25">
      <c r="A33" s="34" t="s">
        <v>30</v>
      </c>
      <c r="B33" s="115"/>
    </row>
    <row r="34" spans="1:2" ht="15.65" customHeight="1" x14ac:dyDescent="0.25">
      <c r="A34" s="35" t="s">
        <v>12</v>
      </c>
      <c r="B34" s="115"/>
    </row>
    <row r="35" spans="1:2" ht="36.700000000000003" customHeight="1" x14ac:dyDescent="0.25">
      <c r="A35" s="34" t="s">
        <v>31</v>
      </c>
      <c r="B35" s="115"/>
    </row>
    <row r="36" spans="1:2" ht="55.2" customHeight="1" x14ac:dyDescent="0.25">
      <c r="A36" s="34" t="s">
        <v>32</v>
      </c>
      <c r="B36" s="115"/>
    </row>
    <row r="37" spans="1:2" x14ac:dyDescent="0.25">
      <c r="A37" s="34"/>
      <c r="B37" s="115"/>
    </row>
    <row r="38" spans="1:2" ht="26" customHeight="1" x14ac:dyDescent="0.25">
      <c r="A38" s="34" t="s">
        <v>33</v>
      </c>
      <c r="B38" s="115">
        <f>B40+B41</f>
        <v>1962559.83</v>
      </c>
    </row>
    <row r="39" spans="1:2" x14ac:dyDescent="0.25">
      <c r="A39" s="34" t="s">
        <v>10</v>
      </c>
      <c r="B39" s="115"/>
    </row>
    <row r="40" spans="1:2" ht="26.5" customHeight="1" x14ac:dyDescent="0.25">
      <c r="A40" s="34" t="s">
        <v>34</v>
      </c>
      <c r="B40" s="115"/>
    </row>
    <row r="41" spans="1:2" ht="30.6" customHeight="1" x14ac:dyDescent="0.25">
      <c r="A41" s="34" t="s">
        <v>35</v>
      </c>
      <c r="B41" s="115">
        <f>B43+B51+B59</f>
        <v>1962559.83</v>
      </c>
    </row>
    <row r="42" spans="1:2" ht="20.399999999999999" customHeight="1" x14ac:dyDescent="0.25">
      <c r="A42" s="35" t="s">
        <v>12</v>
      </c>
      <c r="B42" s="115"/>
    </row>
    <row r="43" spans="1:2" ht="30.1" customHeight="1" x14ac:dyDescent="0.25">
      <c r="A43" s="34" t="s">
        <v>36</v>
      </c>
      <c r="B43" s="115">
        <f>B46+B47+B49</f>
        <v>561197.87</v>
      </c>
    </row>
    <row r="44" spans="1:2" x14ac:dyDescent="0.25">
      <c r="A44" s="35" t="s">
        <v>12</v>
      </c>
      <c r="B44" s="115"/>
    </row>
    <row r="45" spans="1:2" ht="17" customHeight="1" x14ac:dyDescent="0.25">
      <c r="A45" s="36" t="s">
        <v>37</v>
      </c>
      <c r="B45" s="115"/>
    </row>
    <row r="46" spans="1:2" ht="17" customHeight="1" x14ac:dyDescent="0.25">
      <c r="A46" s="36" t="s">
        <v>38</v>
      </c>
      <c r="B46" s="115"/>
    </row>
    <row r="47" spans="1:2" ht="14.45" customHeight="1" x14ac:dyDescent="0.25">
      <c r="A47" s="36" t="s">
        <v>39</v>
      </c>
      <c r="B47" s="119"/>
    </row>
    <row r="48" spans="1:2" ht="14.45" customHeight="1" x14ac:dyDescent="0.25">
      <c r="A48" s="36" t="s">
        <v>40</v>
      </c>
      <c r="B48" s="115">
        <v>197950.69</v>
      </c>
    </row>
    <row r="49" spans="1:2" ht="21.1" customHeight="1" x14ac:dyDescent="0.25">
      <c r="A49" s="36" t="s">
        <v>41</v>
      </c>
      <c r="B49" s="119">
        <f>129504+56399.86+375294.01</f>
        <v>561197.87</v>
      </c>
    </row>
    <row r="50" spans="1:2" ht="21.1" customHeight="1" x14ac:dyDescent="0.25">
      <c r="A50" s="36" t="s">
        <v>42</v>
      </c>
      <c r="B50" s="115"/>
    </row>
    <row r="51" spans="1:2" ht="45" customHeight="1" x14ac:dyDescent="0.25">
      <c r="A51" s="34" t="s">
        <v>43</v>
      </c>
      <c r="B51" s="119">
        <f>B57</f>
        <v>0</v>
      </c>
    </row>
    <row r="52" spans="1:2" ht="17.5" customHeight="1" x14ac:dyDescent="0.25">
      <c r="A52" s="35" t="s">
        <v>12</v>
      </c>
      <c r="B52" s="115"/>
    </row>
    <row r="53" spans="1:2" ht="17.5" customHeight="1" x14ac:dyDescent="0.25">
      <c r="A53" s="36" t="s">
        <v>37</v>
      </c>
      <c r="B53" s="115"/>
    </row>
    <row r="54" spans="1:2" ht="17.5" customHeight="1" x14ac:dyDescent="0.25">
      <c r="A54" s="36" t="s">
        <v>38</v>
      </c>
      <c r="B54" s="115"/>
    </row>
    <row r="55" spans="1:2" ht="17.5" customHeight="1" x14ac:dyDescent="0.25">
      <c r="A55" s="36" t="s">
        <v>39</v>
      </c>
      <c r="B55" s="115"/>
    </row>
    <row r="56" spans="1:2" ht="17.5" customHeight="1" x14ac:dyDescent="0.25">
      <c r="A56" s="36" t="s">
        <v>40</v>
      </c>
      <c r="B56" s="119"/>
    </row>
    <row r="57" spans="1:2" ht="17.5" customHeight="1" x14ac:dyDescent="0.25">
      <c r="A57" s="36" t="s">
        <v>41</v>
      </c>
      <c r="B57" s="115"/>
    </row>
    <row r="58" spans="1:2" ht="17.5" customHeight="1" x14ac:dyDescent="0.25">
      <c r="A58" s="36" t="s">
        <v>42</v>
      </c>
      <c r="B58" s="115"/>
    </row>
    <row r="59" spans="1:2" ht="17.5" customHeight="1" x14ac:dyDescent="0.25">
      <c r="A59" s="34" t="s">
        <v>44</v>
      </c>
      <c r="B59" s="115">
        <f>B63+B64</f>
        <v>1401361.96</v>
      </c>
    </row>
    <row r="60" spans="1:2" ht="17.5" customHeight="1" x14ac:dyDescent="0.25">
      <c r="A60" s="35" t="s">
        <v>12</v>
      </c>
      <c r="B60" s="115"/>
    </row>
    <row r="61" spans="1:2" ht="17.5" customHeight="1" x14ac:dyDescent="0.25">
      <c r="A61" s="36" t="s">
        <v>37</v>
      </c>
      <c r="B61" s="115"/>
    </row>
    <row r="62" spans="1:2" ht="18.7" customHeight="1" x14ac:dyDescent="0.25">
      <c r="A62" s="36" t="s">
        <v>38</v>
      </c>
      <c r="B62" s="115"/>
    </row>
    <row r="63" spans="1:2" ht="18.7" customHeight="1" x14ac:dyDescent="0.25">
      <c r="A63" s="36" t="s">
        <v>39</v>
      </c>
      <c r="B63" s="115"/>
    </row>
    <row r="64" spans="1:2" ht="18" customHeight="1" x14ac:dyDescent="0.25">
      <c r="A64" s="36" t="s">
        <v>40</v>
      </c>
      <c r="B64" s="115">
        <v>1401361.96</v>
      </c>
    </row>
    <row r="65" spans="1:2" ht="18" customHeight="1" x14ac:dyDescent="0.25">
      <c r="A65" s="36" t="s">
        <v>41</v>
      </c>
      <c r="B65" s="115"/>
    </row>
    <row r="66" spans="1:2" ht="18" customHeight="1" x14ac:dyDescent="0.25">
      <c r="A66" s="36" t="s">
        <v>42</v>
      </c>
      <c r="B66" s="115"/>
    </row>
    <row r="69" spans="1:2" x14ac:dyDescent="0.25">
      <c r="B69" s="125"/>
    </row>
  </sheetData>
  <mergeCells count="5">
    <mergeCell ref="A1:B1"/>
    <mergeCell ref="A2:B2"/>
    <mergeCell ref="A4:B4"/>
    <mergeCell ref="A5:B5"/>
    <mergeCell ref="A6:B6"/>
  </mergeCells>
  <pageMargins left="0.7" right="0.7" top="0.75" bottom="0.75" header="0.3" footer="0.3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view="pageBreakPreview" zoomScale="80" zoomScaleNormal="80" zoomScaleSheetLayoutView="80" workbookViewId="0">
      <pane xSplit="2" ySplit="8" topLeftCell="C42" activePane="bottomRight" state="frozen"/>
      <selection pane="topRight" activeCell="C1" sqref="C1"/>
      <selection pane="bottomLeft" activeCell="A9" sqref="A9"/>
      <selection pane="bottomRight" activeCell="G19" sqref="G19"/>
    </sheetView>
  </sheetViews>
  <sheetFormatPr defaultRowHeight="14.3" x14ac:dyDescent="0.25"/>
  <cols>
    <col min="1" max="1" width="44.25" customWidth="1"/>
    <col min="4" max="4" width="15.625" customWidth="1"/>
    <col min="5" max="5" width="19" customWidth="1"/>
    <col min="6" max="6" width="23.75" customWidth="1"/>
    <col min="7" max="7" width="21.25" customWidth="1"/>
    <col min="8" max="8" width="21.75" customWidth="1"/>
    <col min="9" max="10" width="17.875" customWidth="1"/>
    <col min="13" max="13" width="14.625" customWidth="1"/>
  </cols>
  <sheetData>
    <row r="1" spans="1:10" ht="15.65" x14ac:dyDescent="0.25">
      <c r="A1" s="280" t="s">
        <v>45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0" ht="15.65" x14ac:dyDescent="0.25">
      <c r="A2" s="280" t="s">
        <v>410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6.3" thickBot="1" x14ac:dyDescent="0.3">
      <c r="A3" s="39"/>
      <c r="B3" s="27"/>
      <c r="C3" s="27"/>
      <c r="D3" s="27"/>
      <c r="E3" s="27"/>
      <c r="F3" s="27"/>
      <c r="G3" s="27"/>
      <c r="H3" s="27"/>
      <c r="I3" s="27"/>
      <c r="J3" s="27"/>
    </row>
    <row r="4" spans="1:10" ht="19.2" customHeight="1" x14ac:dyDescent="0.25">
      <c r="A4" s="291" t="s">
        <v>7</v>
      </c>
      <c r="B4" s="291" t="s">
        <v>46</v>
      </c>
      <c r="C4" s="294" t="s">
        <v>47</v>
      </c>
      <c r="D4" s="297" t="s">
        <v>48</v>
      </c>
      <c r="E4" s="297"/>
      <c r="F4" s="297"/>
      <c r="G4" s="297"/>
      <c r="H4" s="297"/>
      <c r="I4" s="297"/>
      <c r="J4" s="298"/>
    </row>
    <row r="5" spans="1:10" ht="15.65" x14ac:dyDescent="0.25">
      <c r="A5" s="292"/>
      <c r="B5" s="292"/>
      <c r="C5" s="295"/>
      <c r="D5" s="289" t="s">
        <v>49</v>
      </c>
      <c r="E5" s="289" t="s">
        <v>12</v>
      </c>
      <c r="F5" s="289"/>
      <c r="G5" s="289"/>
      <c r="H5" s="289"/>
      <c r="I5" s="289"/>
      <c r="J5" s="290"/>
    </row>
    <row r="6" spans="1:10" ht="81" customHeight="1" x14ac:dyDescent="0.25">
      <c r="A6" s="292"/>
      <c r="B6" s="292"/>
      <c r="C6" s="295"/>
      <c r="D6" s="289"/>
      <c r="E6" s="289" t="s">
        <v>50</v>
      </c>
      <c r="F6" s="300" t="s">
        <v>51</v>
      </c>
      <c r="G6" s="289" t="s">
        <v>52</v>
      </c>
      <c r="H6" s="289" t="s">
        <v>53</v>
      </c>
      <c r="I6" s="289" t="s">
        <v>54</v>
      </c>
      <c r="J6" s="290"/>
    </row>
    <row r="7" spans="1:10" ht="26.35" customHeight="1" thickBot="1" x14ac:dyDescent="0.3">
      <c r="A7" s="293"/>
      <c r="B7" s="293"/>
      <c r="C7" s="296"/>
      <c r="D7" s="299"/>
      <c r="E7" s="299"/>
      <c r="F7" s="301"/>
      <c r="G7" s="299"/>
      <c r="H7" s="299"/>
      <c r="I7" s="40" t="s">
        <v>55</v>
      </c>
      <c r="J7" s="41" t="s">
        <v>56</v>
      </c>
    </row>
    <row r="8" spans="1:10" ht="16.3" thickBot="1" x14ac:dyDescent="0.3">
      <c r="A8" s="42">
        <v>1</v>
      </c>
      <c r="B8" s="42">
        <v>2</v>
      </c>
      <c r="C8" s="43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  <c r="J8" s="45">
        <v>10</v>
      </c>
    </row>
    <row r="9" spans="1:10" s="130" customFormat="1" ht="26" customHeight="1" x14ac:dyDescent="0.25">
      <c r="A9" s="131" t="s">
        <v>57</v>
      </c>
      <c r="B9" s="132">
        <v>100</v>
      </c>
      <c r="C9" s="133" t="s">
        <v>58</v>
      </c>
      <c r="D9" s="134">
        <f>D12+D20+D21</f>
        <v>84879474.359999999</v>
      </c>
      <c r="E9" s="134">
        <f>E12</f>
        <v>73714377.150000006</v>
      </c>
      <c r="F9" s="134">
        <f>F20</f>
        <v>3030178.05</v>
      </c>
      <c r="G9" s="134"/>
      <c r="H9" s="134"/>
      <c r="I9" s="134">
        <f>I12</f>
        <v>8134919.1600000001</v>
      </c>
      <c r="J9" s="135"/>
    </row>
    <row r="10" spans="1:10" ht="17.5" customHeight="1" x14ac:dyDescent="0.25">
      <c r="A10" s="46" t="s">
        <v>12</v>
      </c>
      <c r="B10" s="47"/>
      <c r="C10" s="123"/>
      <c r="D10" s="102"/>
      <c r="E10" s="102"/>
      <c r="F10" s="102"/>
      <c r="G10" s="102"/>
      <c r="H10" s="102"/>
      <c r="I10" s="102"/>
      <c r="J10" s="103"/>
    </row>
    <row r="11" spans="1:10" ht="26" customHeight="1" x14ac:dyDescent="0.25">
      <c r="A11" s="47" t="s">
        <v>59</v>
      </c>
      <c r="B11" s="48">
        <v>110</v>
      </c>
      <c r="C11" s="123">
        <v>120</v>
      </c>
      <c r="D11" s="102"/>
      <c r="E11" s="102" t="s">
        <v>58</v>
      </c>
      <c r="F11" s="102" t="s">
        <v>58</v>
      </c>
      <c r="G11" s="102" t="s">
        <v>58</v>
      </c>
      <c r="H11" s="102" t="s">
        <v>58</v>
      </c>
      <c r="I11" s="102"/>
      <c r="J11" s="103" t="s">
        <v>58</v>
      </c>
    </row>
    <row r="12" spans="1:10" ht="26" customHeight="1" x14ac:dyDescent="0.25">
      <c r="A12" s="47" t="s">
        <v>60</v>
      </c>
      <c r="B12" s="48">
        <v>120</v>
      </c>
      <c r="C12" s="123">
        <v>130</v>
      </c>
      <c r="D12" s="102">
        <f>I12+E12</f>
        <v>81849296.310000002</v>
      </c>
      <c r="E12" s="102">
        <f>E17</f>
        <v>73714377.150000006</v>
      </c>
      <c r="F12" s="102" t="s">
        <v>58</v>
      </c>
      <c r="G12" s="102" t="s">
        <v>58</v>
      </c>
      <c r="H12" s="102"/>
      <c r="I12" s="102">
        <f>I14+I15+I16</f>
        <v>8134919.1600000001</v>
      </c>
      <c r="J12" s="103"/>
    </row>
    <row r="13" spans="1:10" ht="19.2" customHeight="1" x14ac:dyDescent="0.25">
      <c r="A13" s="46" t="s">
        <v>12</v>
      </c>
      <c r="B13" s="47"/>
      <c r="C13" s="123"/>
      <c r="D13" s="102"/>
      <c r="E13" s="102"/>
      <c r="F13" s="102"/>
      <c r="G13" s="102"/>
      <c r="H13" s="102"/>
      <c r="I13" s="102"/>
      <c r="J13" s="103"/>
    </row>
    <row r="14" spans="1:10" ht="26" customHeight="1" x14ac:dyDescent="0.25">
      <c r="A14" s="46" t="s">
        <v>214</v>
      </c>
      <c r="B14" s="48">
        <v>1201</v>
      </c>
      <c r="C14" s="123">
        <v>130</v>
      </c>
      <c r="D14" s="102">
        <f>I14</f>
        <v>7839979.5</v>
      </c>
      <c r="E14" s="102"/>
      <c r="F14" s="102" t="s">
        <v>58</v>
      </c>
      <c r="G14" s="102" t="s">
        <v>58</v>
      </c>
      <c r="H14" s="102"/>
      <c r="I14" s="102">
        <v>7839979.5</v>
      </c>
      <c r="J14" s="103"/>
    </row>
    <row r="15" spans="1:10" ht="36" customHeight="1" x14ac:dyDescent="0.25">
      <c r="A15" s="46" t="s">
        <v>213</v>
      </c>
      <c r="B15" s="48">
        <v>1202</v>
      </c>
      <c r="C15" s="123">
        <v>130</v>
      </c>
      <c r="D15" s="102">
        <f>I15</f>
        <v>294939.65999999997</v>
      </c>
      <c r="E15" s="102"/>
      <c r="F15" s="102" t="s">
        <v>58</v>
      </c>
      <c r="G15" s="102" t="s">
        <v>58</v>
      </c>
      <c r="H15" s="102"/>
      <c r="I15" s="102">
        <v>294939.65999999997</v>
      </c>
      <c r="J15" s="103"/>
    </row>
    <row r="16" spans="1:10" ht="36" customHeight="1" x14ac:dyDescent="0.25">
      <c r="A16" s="46" t="s">
        <v>222</v>
      </c>
      <c r="B16" s="150">
        <v>1203</v>
      </c>
      <c r="C16" s="151">
        <v>130</v>
      </c>
      <c r="D16" s="102">
        <f>I16</f>
        <v>0</v>
      </c>
      <c r="E16" s="102"/>
      <c r="F16" s="102"/>
      <c r="G16" s="102"/>
      <c r="H16" s="102"/>
      <c r="I16" s="102"/>
      <c r="J16" s="103"/>
    </row>
    <row r="17" spans="1:13" ht="36" customHeight="1" x14ac:dyDescent="0.25">
      <c r="A17" s="46" t="s">
        <v>220</v>
      </c>
      <c r="B17" s="146">
        <v>1204</v>
      </c>
      <c r="C17" s="147">
        <v>130</v>
      </c>
      <c r="D17" s="102">
        <f>E17</f>
        <v>73714377.150000006</v>
      </c>
      <c r="E17" s="102">
        <f>E26</f>
        <v>73714377.150000006</v>
      </c>
      <c r="F17" s="102"/>
      <c r="G17" s="102"/>
      <c r="H17" s="102"/>
      <c r="I17" s="102"/>
      <c r="J17" s="103"/>
    </row>
    <row r="18" spans="1:13" ht="32.950000000000003" customHeight="1" x14ac:dyDescent="0.25">
      <c r="A18" s="47" t="s">
        <v>63</v>
      </c>
      <c r="B18" s="48">
        <v>130</v>
      </c>
      <c r="C18" s="123">
        <v>140</v>
      </c>
      <c r="D18" s="102"/>
      <c r="E18" s="102" t="s">
        <v>58</v>
      </c>
      <c r="F18" s="102" t="s">
        <v>58</v>
      </c>
      <c r="G18" s="102" t="s">
        <v>58</v>
      </c>
      <c r="H18" s="102" t="s">
        <v>58</v>
      </c>
      <c r="I18" s="102"/>
      <c r="J18" s="103" t="s">
        <v>58</v>
      </c>
      <c r="M18" s="125"/>
    </row>
    <row r="19" spans="1:13" ht="76.599999999999994" customHeight="1" x14ac:dyDescent="0.25">
      <c r="A19" s="47" t="s">
        <v>64</v>
      </c>
      <c r="B19" s="48">
        <v>140</v>
      </c>
      <c r="C19" s="123">
        <v>152</v>
      </c>
      <c r="D19" s="102"/>
      <c r="E19" s="102" t="s">
        <v>58</v>
      </c>
      <c r="F19" s="102" t="s">
        <v>58</v>
      </c>
      <c r="G19" s="102" t="s">
        <v>58</v>
      </c>
      <c r="H19" s="102" t="s">
        <v>58</v>
      </c>
      <c r="I19" s="102"/>
      <c r="J19" s="103" t="s">
        <v>58</v>
      </c>
    </row>
    <row r="20" spans="1:13" ht="33.799999999999997" customHeight="1" x14ac:dyDescent="0.25">
      <c r="A20" s="47" t="s">
        <v>65</v>
      </c>
      <c r="B20" s="48">
        <v>150</v>
      </c>
      <c r="C20" s="123">
        <v>180</v>
      </c>
      <c r="D20" s="102">
        <f>F20</f>
        <v>3030178.05</v>
      </c>
      <c r="E20" s="102" t="s">
        <v>58</v>
      </c>
      <c r="F20" s="102">
        <f>F26</f>
        <v>3030178.05</v>
      </c>
      <c r="G20" s="102"/>
      <c r="H20" s="102" t="s">
        <v>58</v>
      </c>
      <c r="I20" s="102" t="s">
        <v>58</v>
      </c>
      <c r="J20" s="103" t="s">
        <v>58</v>
      </c>
    </row>
    <row r="21" spans="1:13" ht="26" customHeight="1" x14ac:dyDescent="0.25">
      <c r="A21" s="47" t="s">
        <v>66</v>
      </c>
      <c r="B21" s="48">
        <v>160</v>
      </c>
      <c r="C21" s="123">
        <v>180</v>
      </c>
      <c r="D21" s="102">
        <f>I21</f>
        <v>0</v>
      </c>
      <c r="E21" s="102" t="s">
        <v>58</v>
      </c>
      <c r="F21" s="102" t="s">
        <v>58</v>
      </c>
      <c r="G21" s="102" t="s">
        <v>58</v>
      </c>
      <c r="H21" s="102" t="s">
        <v>58</v>
      </c>
      <c r="I21" s="102">
        <v>0</v>
      </c>
      <c r="J21" s="103"/>
    </row>
    <row r="22" spans="1:13" ht="26" customHeight="1" x14ac:dyDescent="0.25">
      <c r="A22" s="47" t="s">
        <v>67</v>
      </c>
      <c r="B22" s="48">
        <v>180</v>
      </c>
      <c r="C22" s="123" t="s">
        <v>58</v>
      </c>
      <c r="D22" s="102"/>
      <c r="E22" s="102" t="s">
        <v>58</v>
      </c>
      <c r="F22" s="102" t="s">
        <v>58</v>
      </c>
      <c r="G22" s="102" t="s">
        <v>58</v>
      </c>
      <c r="H22" s="102" t="s">
        <v>58</v>
      </c>
      <c r="I22" s="102"/>
      <c r="J22" s="103" t="s">
        <v>58</v>
      </c>
    </row>
    <row r="23" spans="1:13" ht="19.2" customHeight="1" x14ac:dyDescent="0.25">
      <c r="A23" s="46" t="s">
        <v>12</v>
      </c>
      <c r="B23" s="47"/>
      <c r="C23" s="123"/>
      <c r="D23" s="102"/>
      <c r="E23" s="102"/>
      <c r="F23" s="102"/>
      <c r="G23" s="102"/>
      <c r="H23" s="102"/>
      <c r="I23" s="102"/>
      <c r="J23" s="103"/>
    </row>
    <row r="24" spans="1:13" ht="26" customHeight="1" x14ac:dyDescent="0.25">
      <c r="A24" s="46" t="s">
        <v>61</v>
      </c>
      <c r="B24" s="48">
        <v>1801</v>
      </c>
      <c r="C24" s="123" t="s">
        <v>58</v>
      </c>
      <c r="D24" s="102"/>
      <c r="E24" s="102" t="s">
        <v>58</v>
      </c>
      <c r="F24" s="102" t="s">
        <v>58</v>
      </c>
      <c r="G24" s="102" t="s">
        <v>58</v>
      </c>
      <c r="H24" s="102" t="s">
        <v>58</v>
      </c>
      <c r="I24" s="102"/>
      <c r="J24" s="103" t="s">
        <v>58</v>
      </c>
    </row>
    <row r="25" spans="1:13" ht="26" customHeight="1" x14ac:dyDescent="0.25">
      <c r="A25" s="46" t="s">
        <v>62</v>
      </c>
      <c r="B25" s="48">
        <v>1802</v>
      </c>
      <c r="C25" s="123" t="s">
        <v>58</v>
      </c>
      <c r="D25" s="102"/>
      <c r="E25" s="102" t="s">
        <v>58</v>
      </c>
      <c r="F25" s="102" t="s">
        <v>58</v>
      </c>
      <c r="G25" s="102" t="s">
        <v>58</v>
      </c>
      <c r="H25" s="102" t="s">
        <v>58</v>
      </c>
      <c r="I25" s="102"/>
      <c r="J25" s="103" t="s">
        <v>58</v>
      </c>
    </row>
    <row r="26" spans="1:13" s="130" customFormat="1" ht="26" customHeight="1" x14ac:dyDescent="0.25">
      <c r="A26" s="126" t="s">
        <v>68</v>
      </c>
      <c r="B26" s="127">
        <v>200</v>
      </c>
      <c r="C26" s="128" t="s">
        <v>58</v>
      </c>
      <c r="D26" s="129">
        <f>E26+F26+I26</f>
        <v>84879474.359999999</v>
      </c>
      <c r="E26" s="129">
        <f>E28+E43</f>
        <v>73714377.150000006</v>
      </c>
      <c r="F26" s="129">
        <f>F28+F36+F43+F35</f>
        <v>3030178.05</v>
      </c>
      <c r="G26" s="205">
        <f>G28+G36+G43+G35</f>
        <v>0</v>
      </c>
      <c r="H26" s="205">
        <f>H28+H36+H43+H35</f>
        <v>0</v>
      </c>
      <c r="I26" s="205">
        <f>I28+I36+I43+I35</f>
        <v>8134919.1600000001</v>
      </c>
      <c r="J26" s="205">
        <f>J28+J36+J43+J35</f>
        <v>0</v>
      </c>
    </row>
    <row r="27" spans="1:13" ht="19.2" customHeight="1" x14ac:dyDescent="0.25">
      <c r="A27" s="46" t="s">
        <v>69</v>
      </c>
      <c r="B27" s="47"/>
      <c r="C27" s="123"/>
      <c r="D27" s="97">
        <f>E27+F27+G27+H27+I27</f>
        <v>0</v>
      </c>
      <c r="E27" s="102"/>
      <c r="F27" s="102"/>
      <c r="G27" s="102"/>
      <c r="H27" s="102"/>
      <c r="I27" s="102"/>
      <c r="J27" s="103"/>
    </row>
    <row r="28" spans="1:13" ht="26" customHeight="1" x14ac:dyDescent="0.25">
      <c r="A28" s="47" t="s">
        <v>70</v>
      </c>
      <c r="B28" s="48">
        <v>210</v>
      </c>
      <c r="C28" s="123">
        <v>100</v>
      </c>
      <c r="D28" s="102">
        <f>E28+F28+G28+H28+I28</f>
        <v>65065213.490000002</v>
      </c>
      <c r="E28" s="102">
        <f>E30+E31</f>
        <v>64346310.530000001</v>
      </c>
      <c r="F28" s="102">
        <f>F30+F31</f>
        <v>718902.96</v>
      </c>
      <c r="G28" s="208"/>
      <c r="H28" s="208"/>
      <c r="I28" s="208">
        <f>I30+I31</f>
        <v>0</v>
      </c>
      <c r="J28" s="208"/>
    </row>
    <row r="29" spans="1:13" ht="18" customHeight="1" x14ac:dyDescent="0.25">
      <c r="A29" s="46" t="s">
        <v>10</v>
      </c>
      <c r="B29" s="47"/>
      <c r="C29" s="123"/>
      <c r="D29" s="97"/>
      <c r="E29" s="102"/>
      <c r="F29" s="102"/>
      <c r="G29" s="102"/>
      <c r="H29" s="102"/>
      <c r="I29" s="102"/>
      <c r="J29" s="103"/>
    </row>
    <row r="30" spans="1:13" ht="30.6" customHeight="1" x14ac:dyDescent="0.25">
      <c r="A30" s="47" t="s">
        <v>71</v>
      </c>
      <c r="B30" s="48">
        <v>211</v>
      </c>
      <c r="C30" s="123">
        <v>110</v>
      </c>
      <c r="D30" s="102">
        <f>E30+F30+G30+H30+I30</f>
        <v>64338310.530000001</v>
      </c>
      <c r="E30" s="102">
        <v>64338310.530000001</v>
      </c>
      <c r="F30" s="102">
        <v>0</v>
      </c>
      <c r="G30" s="102"/>
      <c r="H30" s="102"/>
      <c r="I30" s="102"/>
      <c r="J30" s="103"/>
    </row>
    <row r="31" spans="1:13" ht="26" customHeight="1" x14ac:dyDescent="0.25">
      <c r="A31" s="47" t="s">
        <v>204</v>
      </c>
      <c r="B31" s="98">
        <v>212</v>
      </c>
      <c r="C31" s="123">
        <v>112</v>
      </c>
      <c r="D31" s="102">
        <f>E31+F31+G31+H31+I31</f>
        <v>726902.96</v>
      </c>
      <c r="E31" s="102">
        <v>8000</v>
      </c>
      <c r="F31" s="102">
        <f>735902.96-17000</f>
        <v>718902.96</v>
      </c>
      <c r="G31" s="102"/>
      <c r="H31" s="102"/>
      <c r="I31" s="102"/>
      <c r="J31" s="103"/>
    </row>
    <row r="32" spans="1:13" ht="31.6" customHeight="1" x14ac:dyDescent="0.25">
      <c r="A32" s="47" t="s">
        <v>72</v>
      </c>
      <c r="B32" s="48">
        <v>220</v>
      </c>
      <c r="C32" s="123">
        <v>300</v>
      </c>
      <c r="D32" s="102">
        <f t="shared" ref="D32:D52" si="0">E32+F32+G32+H32+I32</f>
        <v>0</v>
      </c>
      <c r="E32" s="102">
        <v>0</v>
      </c>
      <c r="F32" s="102"/>
      <c r="G32" s="102"/>
      <c r="H32" s="102"/>
      <c r="I32" s="102"/>
      <c r="J32" s="103"/>
    </row>
    <row r="33" spans="1:13" ht="19.899999999999999" customHeight="1" x14ac:dyDescent="0.25">
      <c r="A33" s="46" t="s">
        <v>10</v>
      </c>
      <c r="B33" s="47"/>
      <c r="C33" s="123"/>
      <c r="D33" s="102">
        <f t="shared" si="0"/>
        <v>0</v>
      </c>
      <c r="E33" s="102"/>
      <c r="F33" s="102"/>
      <c r="G33" s="102"/>
      <c r="H33" s="102"/>
      <c r="I33" s="102"/>
      <c r="J33" s="103"/>
    </row>
    <row r="34" spans="1:13" ht="19.899999999999999" customHeight="1" x14ac:dyDescent="0.25">
      <c r="A34" s="46"/>
      <c r="B34" s="47"/>
      <c r="C34" s="151"/>
      <c r="D34" s="102"/>
      <c r="E34" s="102"/>
      <c r="F34" s="102"/>
      <c r="G34" s="102"/>
      <c r="H34" s="102"/>
      <c r="I34" s="102"/>
      <c r="J34" s="103"/>
    </row>
    <row r="35" spans="1:13" ht="26" customHeight="1" x14ac:dyDescent="0.25">
      <c r="A35" s="47" t="s">
        <v>223</v>
      </c>
      <c r="B35" s="145">
        <v>230</v>
      </c>
      <c r="C35" s="123">
        <v>831</v>
      </c>
      <c r="D35" s="102">
        <f>E35+F35+G35+H35+I35</f>
        <v>0</v>
      </c>
      <c r="E35" s="102"/>
      <c r="F35" s="102"/>
      <c r="G35" s="102"/>
      <c r="H35" s="102"/>
      <c r="I35" s="102"/>
      <c r="J35" s="103"/>
    </row>
    <row r="36" spans="1:13" ht="33.799999999999997" customHeight="1" x14ac:dyDescent="0.25">
      <c r="A36" s="47" t="s">
        <v>73</v>
      </c>
      <c r="B36" s="48">
        <v>230</v>
      </c>
      <c r="C36" s="123">
        <v>850</v>
      </c>
      <c r="D36" s="102">
        <f>E36+F36+G36+H36+I36</f>
        <v>1285873.1499999999</v>
      </c>
      <c r="E36" s="102">
        <f>E39</f>
        <v>0</v>
      </c>
      <c r="F36" s="102">
        <f>F38+F39</f>
        <v>1285873.1499999999</v>
      </c>
      <c r="G36" s="102"/>
      <c r="H36" s="102"/>
      <c r="I36" s="102"/>
      <c r="J36" s="103"/>
    </row>
    <row r="37" spans="1:13" ht="26" customHeight="1" x14ac:dyDescent="0.25">
      <c r="A37" s="46" t="s">
        <v>10</v>
      </c>
      <c r="B37" s="47"/>
      <c r="C37" s="123"/>
      <c r="D37" s="102">
        <f t="shared" si="0"/>
        <v>0</v>
      </c>
      <c r="E37" s="102"/>
      <c r="F37" s="102"/>
      <c r="G37" s="102"/>
      <c r="H37" s="102"/>
      <c r="I37" s="102"/>
      <c r="J37" s="103"/>
    </row>
    <row r="38" spans="1:13" ht="26" customHeight="1" x14ac:dyDescent="0.25">
      <c r="A38" s="46" t="s">
        <v>389</v>
      </c>
      <c r="B38" s="229">
        <v>231</v>
      </c>
      <c r="C38" s="214">
        <v>851</v>
      </c>
      <c r="D38" s="215">
        <f>F38</f>
        <v>255873.15000000002</v>
      </c>
      <c r="E38" s="215"/>
      <c r="F38" s="215">
        <f>85291.05+85291.05+85291.05</f>
        <v>255873.15000000002</v>
      </c>
      <c r="G38" s="215"/>
      <c r="H38" s="215"/>
      <c r="I38" s="215"/>
      <c r="J38" s="103"/>
    </row>
    <row r="39" spans="1:13" ht="26" customHeight="1" x14ac:dyDescent="0.25">
      <c r="A39" s="47" t="s">
        <v>205</v>
      </c>
      <c r="B39" s="98">
        <v>232</v>
      </c>
      <c r="C39" s="123">
        <v>853</v>
      </c>
      <c r="D39" s="102">
        <f t="shared" si="0"/>
        <v>1030000</v>
      </c>
      <c r="E39" s="102">
        <v>0</v>
      </c>
      <c r="F39" s="102">
        <v>1030000</v>
      </c>
      <c r="G39" s="102"/>
      <c r="H39" s="102"/>
      <c r="I39" s="102"/>
      <c r="J39" s="103"/>
    </row>
    <row r="40" spans="1:13" ht="26" customHeight="1" x14ac:dyDescent="0.25">
      <c r="A40" s="47" t="s">
        <v>221</v>
      </c>
      <c r="B40" s="148">
        <v>233</v>
      </c>
      <c r="C40" s="149">
        <v>852</v>
      </c>
      <c r="D40" s="102">
        <f t="shared" si="0"/>
        <v>0</v>
      </c>
      <c r="E40" s="102">
        <v>0</v>
      </c>
      <c r="F40" s="102"/>
      <c r="G40" s="102"/>
      <c r="H40" s="102"/>
      <c r="I40" s="102"/>
      <c r="J40" s="103"/>
    </row>
    <row r="41" spans="1:13" ht="32.950000000000003" customHeight="1" x14ac:dyDescent="0.25">
      <c r="A41" s="47" t="s">
        <v>74</v>
      </c>
      <c r="B41" s="48">
        <v>240</v>
      </c>
      <c r="C41" s="123">
        <v>853</v>
      </c>
      <c r="D41" s="102">
        <f t="shared" si="0"/>
        <v>0</v>
      </c>
      <c r="E41" s="102"/>
      <c r="F41" s="102"/>
      <c r="G41" s="102"/>
      <c r="H41" s="102"/>
      <c r="I41" s="102"/>
      <c r="J41" s="103"/>
    </row>
    <row r="42" spans="1:13" ht="33.799999999999997" customHeight="1" x14ac:dyDescent="0.25">
      <c r="A42" s="47" t="s">
        <v>75</v>
      </c>
      <c r="B42" s="48">
        <v>250</v>
      </c>
      <c r="C42" s="123">
        <v>853</v>
      </c>
      <c r="D42" s="102">
        <f t="shared" si="0"/>
        <v>0</v>
      </c>
      <c r="E42" s="102"/>
      <c r="F42" s="102">
        <v>0</v>
      </c>
      <c r="G42" s="102"/>
      <c r="H42" s="102"/>
      <c r="I42" s="102"/>
      <c r="J42" s="103"/>
    </row>
    <row r="43" spans="1:13" ht="32.299999999999997" customHeight="1" x14ac:dyDescent="0.25">
      <c r="A43" s="47" t="s">
        <v>76</v>
      </c>
      <c r="B43" s="48">
        <v>260</v>
      </c>
      <c r="C43" s="123">
        <v>244</v>
      </c>
      <c r="D43" s="102">
        <f>E43+F43+G43+H43+I43</f>
        <v>18528387.719999999</v>
      </c>
      <c r="E43" s="102">
        <v>9368066.6199999992</v>
      </c>
      <c r="F43" s="102">
        <v>1025401.94</v>
      </c>
      <c r="G43" s="102"/>
      <c r="H43" s="102"/>
      <c r="I43" s="102">
        <v>8134919.1600000001</v>
      </c>
      <c r="J43" s="103"/>
      <c r="M43" s="125"/>
    </row>
    <row r="44" spans="1:13" ht="26" customHeight="1" x14ac:dyDescent="0.25">
      <c r="A44" s="47" t="s">
        <v>77</v>
      </c>
      <c r="B44" s="48">
        <v>300</v>
      </c>
      <c r="C44" s="123" t="s">
        <v>58</v>
      </c>
      <c r="D44" s="102">
        <f t="shared" si="0"/>
        <v>0</v>
      </c>
      <c r="E44" s="102"/>
      <c r="F44" s="102"/>
      <c r="G44" s="102"/>
      <c r="H44" s="102"/>
      <c r="I44" s="102"/>
      <c r="J44" s="103"/>
    </row>
    <row r="45" spans="1:13" s="110" customFormat="1" ht="26" customHeight="1" x14ac:dyDescent="0.25">
      <c r="A45" s="106" t="s">
        <v>10</v>
      </c>
      <c r="B45" s="107"/>
      <c r="C45" s="124"/>
      <c r="D45" s="108">
        <f t="shared" si="0"/>
        <v>0</v>
      </c>
      <c r="E45" s="108"/>
      <c r="F45" s="108"/>
      <c r="G45" s="108"/>
      <c r="H45" s="108"/>
      <c r="I45" s="108"/>
      <c r="J45" s="109"/>
    </row>
    <row r="46" spans="1:13" s="110" customFormat="1" ht="26" customHeight="1" x14ac:dyDescent="0.25">
      <c r="A46" s="107" t="s">
        <v>78</v>
      </c>
      <c r="B46" s="111">
        <v>310</v>
      </c>
      <c r="C46" s="124">
        <v>310</v>
      </c>
      <c r="D46" s="108">
        <f t="shared" si="0"/>
        <v>0</v>
      </c>
      <c r="E46" s="108"/>
      <c r="F46" s="108"/>
      <c r="G46" s="108"/>
      <c r="H46" s="108"/>
      <c r="I46" s="108"/>
      <c r="J46" s="109"/>
    </row>
    <row r="47" spans="1:13" s="110" customFormat="1" ht="26" customHeight="1" x14ac:dyDescent="0.25">
      <c r="A47" s="107" t="s">
        <v>79</v>
      </c>
      <c r="B47" s="111">
        <v>320</v>
      </c>
      <c r="C47" s="124">
        <v>320</v>
      </c>
      <c r="D47" s="108">
        <f t="shared" si="0"/>
        <v>0</v>
      </c>
      <c r="E47" s="108"/>
      <c r="F47" s="108"/>
      <c r="G47" s="108"/>
      <c r="H47" s="108"/>
      <c r="I47" s="108"/>
      <c r="J47" s="109"/>
    </row>
    <row r="48" spans="1:13" s="110" customFormat="1" ht="47.25" customHeight="1" x14ac:dyDescent="0.25">
      <c r="A48" s="107" t="s">
        <v>80</v>
      </c>
      <c r="B48" s="111">
        <v>400</v>
      </c>
      <c r="C48" s="124">
        <v>400</v>
      </c>
      <c r="D48" s="108">
        <f t="shared" si="0"/>
        <v>0</v>
      </c>
      <c r="E48" s="108"/>
      <c r="F48" s="108"/>
      <c r="G48" s="108"/>
      <c r="H48" s="108"/>
      <c r="I48" s="108"/>
      <c r="J48" s="109"/>
    </row>
    <row r="49" spans="1:10" s="110" customFormat="1" ht="26" customHeight="1" x14ac:dyDescent="0.25">
      <c r="A49" s="106" t="s">
        <v>10</v>
      </c>
      <c r="B49" s="107"/>
      <c r="C49" s="124"/>
      <c r="D49" s="108">
        <f t="shared" si="0"/>
        <v>0</v>
      </c>
      <c r="E49" s="108"/>
      <c r="F49" s="108"/>
      <c r="G49" s="108"/>
      <c r="H49" s="108"/>
      <c r="I49" s="108"/>
      <c r="J49" s="109"/>
    </row>
    <row r="50" spans="1:10" ht="26" customHeight="1" x14ac:dyDescent="0.25">
      <c r="A50" s="47" t="s">
        <v>81</v>
      </c>
      <c r="B50" s="48">
        <v>410</v>
      </c>
      <c r="C50" s="123">
        <v>410</v>
      </c>
      <c r="D50" s="102">
        <f t="shared" si="0"/>
        <v>0</v>
      </c>
      <c r="E50" s="102"/>
      <c r="F50" s="102"/>
      <c r="G50" s="102"/>
      <c r="H50" s="102"/>
      <c r="I50" s="102"/>
      <c r="J50" s="103"/>
    </row>
    <row r="51" spans="1:10" ht="26" customHeight="1" x14ac:dyDescent="0.25">
      <c r="A51" s="47" t="s">
        <v>82</v>
      </c>
      <c r="B51" s="48">
        <v>420</v>
      </c>
      <c r="C51" s="123">
        <v>440</v>
      </c>
      <c r="D51" s="102">
        <f t="shared" si="0"/>
        <v>0</v>
      </c>
      <c r="E51" s="102"/>
      <c r="F51" s="102"/>
      <c r="G51" s="102"/>
      <c r="H51" s="102"/>
      <c r="I51" s="102"/>
      <c r="J51" s="103"/>
    </row>
    <row r="52" spans="1:10" ht="26" customHeight="1" x14ac:dyDescent="0.25">
      <c r="A52" s="50" t="s">
        <v>83</v>
      </c>
      <c r="B52" s="48">
        <v>500</v>
      </c>
      <c r="C52" s="49" t="s">
        <v>58</v>
      </c>
      <c r="D52" s="102">
        <f t="shared" si="0"/>
        <v>347899.75</v>
      </c>
      <c r="E52" s="102">
        <v>347899.75</v>
      </c>
      <c r="F52" s="102"/>
      <c r="G52" s="102"/>
      <c r="H52" s="102"/>
      <c r="I52" s="102"/>
      <c r="J52" s="103"/>
    </row>
    <row r="53" spans="1:10" ht="26" customHeight="1" thickBot="1" x14ac:dyDescent="0.3">
      <c r="A53" s="51" t="s">
        <v>84</v>
      </c>
      <c r="B53" s="52">
        <v>600</v>
      </c>
      <c r="C53" s="53" t="s">
        <v>58</v>
      </c>
      <c r="D53" s="104">
        <f>E53+F53+G53+H53+I53</f>
        <v>0</v>
      </c>
      <c r="E53" s="104"/>
      <c r="F53" s="104"/>
      <c r="G53" s="104"/>
      <c r="H53" s="104"/>
      <c r="I53" s="104"/>
      <c r="J53" s="105"/>
    </row>
  </sheetData>
  <mergeCells count="13">
    <mergeCell ref="I6:J6"/>
    <mergeCell ref="A1:J1"/>
    <mergeCell ref="A2:J2"/>
    <mergeCell ref="A4:A7"/>
    <mergeCell ref="B4:B7"/>
    <mergeCell ref="C4:C7"/>
    <mergeCell ref="D4:J4"/>
    <mergeCell ref="D5:D7"/>
    <mergeCell ref="E5:J5"/>
    <mergeCell ref="E6:E7"/>
    <mergeCell ref="F6:F7"/>
    <mergeCell ref="G6:G7"/>
    <mergeCell ref="H6:H7"/>
  </mergeCells>
  <hyperlinks>
    <hyperlink ref="F6" r:id="rId1" display="consultantplus://offline/ref=D33253F2348A3E68BA8211C38D74F6A5D1E534EAF697581F83E1211C13C326719F7C7880DF9AJ41DM"/>
  </hyperlinks>
  <pageMargins left="0.7" right="0.7" top="0.75" bottom="0.75" header="0.3" footer="0.3"/>
  <pageSetup paperSize="9" scale="56" fitToHeight="0" orientation="landscape" r:id="rId2"/>
  <rowBreaks count="1" manualBreakCount="1">
    <brk id="2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view="pageBreakPreview" zoomScaleNormal="100" zoomScaleSheetLayoutView="100" workbookViewId="0">
      <selection activeCell="D10" sqref="D10"/>
    </sheetView>
  </sheetViews>
  <sheetFormatPr defaultRowHeight="14.3" x14ac:dyDescent="0.25"/>
  <cols>
    <col min="1" max="1" width="44.375" customWidth="1"/>
    <col min="4" max="4" width="12.75" customWidth="1"/>
    <col min="5" max="5" width="9.625" customWidth="1"/>
    <col min="7" max="7" width="11" customWidth="1"/>
    <col min="9" max="9" width="10.375" customWidth="1"/>
    <col min="10" max="10" width="13.375" customWidth="1"/>
  </cols>
  <sheetData>
    <row r="1" spans="1:12" x14ac:dyDescent="0.25">
      <c r="A1" s="302" t="s">
        <v>85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</row>
    <row r="2" spans="1:12" x14ac:dyDescent="0.25">
      <c r="A2" s="302" t="s">
        <v>86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1:12" x14ac:dyDescent="0.25">
      <c r="A3" s="302" t="s">
        <v>407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2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27.7" customHeight="1" x14ac:dyDescent="0.25">
      <c r="A5" s="303" t="s">
        <v>7</v>
      </c>
      <c r="B5" s="303" t="s">
        <v>46</v>
      </c>
      <c r="C5" s="303" t="s">
        <v>87</v>
      </c>
      <c r="D5" s="303" t="s">
        <v>88</v>
      </c>
      <c r="E5" s="303"/>
      <c r="F5" s="303"/>
      <c r="G5" s="303"/>
      <c r="H5" s="303"/>
      <c r="I5" s="303"/>
      <c r="J5" s="303"/>
      <c r="K5" s="303"/>
      <c r="L5" s="303"/>
    </row>
    <row r="6" spans="1:12" x14ac:dyDescent="0.25">
      <c r="A6" s="304"/>
      <c r="B6" s="304"/>
      <c r="C6" s="304"/>
      <c r="D6" s="304" t="s">
        <v>89</v>
      </c>
      <c r="E6" s="304"/>
      <c r="F6" s="304"/>
      <c r="G6" s="304" t="s">
        <v>12</v>
      </c>
      <c r="H6" s="304"/>
      <c r="I6" s="304"/>
      <c r="J6" s="304"/>
      <c r="K6" s="304"/>
      <c r="L6" s="304"/>
    </row>
    <row r="7" spans="1:12" ht="115.15" customHeight="1" x14ac:dyDescent="0.25">
      <c r="A7" s="304"/>
      <c r="B7" s="304"/>
      <c r="C7" s="304"/>
      <c r="D7" s="304"/>
      <c r="E7" s="304"/>
      <c r="F7" s="304"/>
      <c r="G7" s="305" t="s">
        <v>90</v>
      </c>
      <c r="H7" s="305"/>
      <c r="I7" s="305"/>
      <c r="J7" s="305" t="s">
        <v>91</v>
      </c>
      <c r="K7" s="305"/>
      <c r="L7" s="305"/>
    </row>
    <row r="8" spans="1:12" ht="54.35" x14ac:dyDescent="0.25">
      <c r="A8" s="304"/>
      <c r="B8" s="304"/>
      <c r="C8" s="304"/>
      <c r="D8" s="38" t="s">
        <v>393</v>
      </c>
      <c r="E8" s="38" t="s">
        <v>394</v>
      </c>
      <c r="F8" s="38" t="s">
        <v>398</v>
      </c>
      <c r="G8" s="38" t="s">
        <v>393</v>
      </c>
      <c r="H8" s="38" t="s">
        <v>394</v>
      </c>
      <c r="I8" s="38" t="s">
        <v>399</v>
      </c>
      <c r="J8" s="38" t="s">
        <v>393</v>
      </c>
      <c r="K8" s="38" t="s">
        <v>394</v>
      </c>
      <c r="L8" s="38" t="s">
        <v>398</v>
      </c>
    </row>
    <row r="9" spans="1:12" x14ac:dyDescent="0.25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11</v>
      </c>
      <c r="L9" s="38">
        <v>12</v>
      </c>
    </row>
    <row r="10" spans="1:12" ht="35" customHeight="1" x14ac:dyDescent="0.25">
      <c r="A10" s="37" t="s">
        <v>92</v>
      </c>
      <c r="B10" s="94" t="s">
        <v>191</v>
      </c>
      <c r="C10" s="38" t="s">
        <v>58</v>
      </c>
      <c r="D10" s="95">
        <f>D12+D13</f>
        <v>18528387.719999999</v>
      </c>
      <c r="E10" s="95">
        <f t="shared" ref="E10:L10" si="0">E12+E13</f>
        <v>0</v>
      </c>
      <c r="F10" s="95">
        <f t="shared" si="0"/>
        <v>0</v>
      </c>
      <c r="G10" s="95">
        <v>0</v>
      </c>
      <c r="H10" s="95">
        <f t="shared" si="0"/>
        <v>0</v>
      </c>
      <c r="I10" s="95">
        <f t="shared" si="0"/>
        <v>0</v>
      </c>
      <c r="J10" s="95">
        <f>J12+J13</f>
        <v>18528387.719999999</v>
      </c>
      <c r="K10" s="95">
        <f t="shared" si="0"/>
        <v>0</v>
      </c>
      <c r="L10" s="95">
        <f t="shared" si="0"/>
        <v>0</v>
      </c>
    </row>
    <row r="11" spans="1:12" ht="17" customHeight="1" x14ac:dyDescent="0.25">
      <c r="A11" s="54" t="s">
        <v>12</v>
      </c>
      <c r="B11" s="37"/>
      <c r="C11" s="37"/>
      <c r="D11" s="96"/>
      <c r="E11" s="96"/>
      <c r="F11" s="96"/>
      <c r="G11" s="96"/>
      <c r="H11" s="96"/>
      <c r="I11" s="96"/>
      <c r="J11" s="96"/>
      <c r="K11" s="96"/>
      <c r="L11" s="96"/>
    </row>
    <row r="12" spans="1:12" ht="32.950000000000003" customHeight="1" x14ac:dyDescent="0.25">
      <c r="A12" s="37" t="s">
        <v>93</v>
      </c>
      <c r="B12" s="38">
        <v>1001</v>
      </c>
      <c r="C12" s="38" t="s">
        <v>58</v>
      </c>
      <c r="D12" s="95">
        <f>G12+J12</f>
        <v>1583013.58</v>
      </c>
      <c r="E12" s="95">
        <f t="shared" ref="E12:F13" si="1">H12+K12</f>
        <v>0</v>
      </c>
      <c r="F12" s="95">
        <f>I12+L12</f>
        <v>0</v>
      </c>
      <c r="G12" s="96">
        <v>0</v>
      </c>
      <c r="H12" s="96"/>
      <c r="I12" s="96"/>
      <c r="J12" s="96">
        <f>995401.94+587611.64</f>
        <v>1583013.58</v>
      </c>
      <c r="K12" s="96"/>
      <c r="L12" s="96"/>
    </row>
    <row r="13" spans="1:12" ht="32.950000000000003" customHeight="1" x14ac:dyDescent="0.25">
      <c r="A13" s="37" t="s">
        <v>94</v>
      </c>
      <c r="B13" s="38">
        <v>2001</v>
      </c>
      <c r="C13" s="37"/>
      <c r="D13" s="95">
        <f>G13+J13</f>
        <v>16945374.140000001</v>
      </c>
      <c r="E13" s="95">
        <f t="shared" si="1"/>
        <v>0</v>
      </c>
      <c r="F13" s="95">
        <f t="shared" si="1"/>
        <v>0</v>
      </c>
      <c r="G13" s="96">
        <v>0</v>
      </c>
      <c r="H13" s="96"/>
      <c r="I13" s="96"/>
      <c r="J13" s="96">
        <f>'2.'!D43-'2.1'!J12</f>
        <v>16945374.140000001</v>
      </c>
      <c r="K13" s="96"/>
      <c r="L13" s="96"/>
    </row>
  </sheetData>
  <mergeCells count="11">
    <mergeCell ref="A1:L1"/>
    <mergeCell ref="A2:L2"/>
    <mergeCell ref="A3:L3"/>
    <mergeCell ref="A5:A8"/>
    <mergeCell ref="B5:B8"/>
    <mergeCell ref="C5:C8"/>
    <mergeCell ref="D5:L5"/>
    <mergeCell ref="D6:F7"/>
    <mergeCell ref="G6:L6"/>
    <mergeCell ref="G7:I7"/>
    <mergeCell ref="J7:L7"/>
  </mergeCells>
  <hyperlinks>
    <hyperlink ref="G7" r:id="rId1" display="consultantplus://offline/ref=D33253F2348A3E68BA8211C38D74F6A5D1E534EBFB95581F83E1211C13JC13M"/>
    <hyperlink ref="J7" r:id="rId2" display="consultantplus://offline/ref=D33253F2348A3E68BA8211C38D74F6A5D2EC32E1F598581F83E1211C13JC13M"/>
  </hyperlinks>
  <pageMargins left="0.7" right="0.7" top="0.75" bottom="0.75" header="0.3" footer="0.3"/>
  <pageSetup paperSize="9" scale="84" fitToHeight="0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view="pageBreakPreview" zoomScale="60" zoomScaleNormal="100" workbookViewId="0">
      <selection activeCell="C45" sqref="C45"/>
    </sheetView>
  </sheetViews>
  <sheetFormatPr defaultRowHeight="14.3" x14ac:dyDescent="0.25"/>
  <cols>
    <col min="1" max="1" width="44.75" customWidth="1"/>
    <col min="3" max="3" width="18" customWidth="1"/>
  </cols>
  <sheetData>
    <row r="1" spans="1:3" x14ac:dyDescent="0.25">
      <c r="A1" s="288" t="s">
        <v>95</v>
      </c>
      <c r="B1" s="288"/>
      <c r="C1" s="288"/>
    </row>
    <row r="2" spans="1:3" x14ac:dyDescent="0.25">
      <c r="A2" s="288" t="s">
        <v>96</v>
      </c>
      <c r="B2" s="288"/>
      <c r="C2" s="288"/>
    </row>
    <row r="3" spans="1:3" x14ac:dyDescent="0.25">
      <c r="A3" s="288" t="s">
        <v>407</v>
      </c>
      <c r="B3" s="288"/>
      <c r="C3" s="288"/>
    </row>
    <row r="4" spans="1:3" x14ac:dyDescent="0.25">
      <c r="A4" s="288" t="s">
        <v>97</v>
      </c>
      <c r="B4" s="288"/>
      <c r="C4" s="288"/>
    </row>
    <row r="5" spans="1:3" ht="14.95" thickBot="1" x14ac:dyDescent="0.3">
      <c r="A5" s="28"/>
      <c r="B5" s="10"/>
      <c r="C5" s="10"/>
    </row>
    <row r="6" spans="1:3" ht="57.75" thickBot="1" x14ac:dyDescent="0.3">
      <c r="A6" s="29" t="s">
        <v>7</v>
      </c>
      <c r="B6" s="30" t="s">
        <v>46</v>
      </c>
      <c r="C6" s="30" t="s">
        <v>98</v>
      </c>
    </row>
    <row r="7" spans="1:3" ht="14.95" thickBot="1" x14ac:dyDescent="0.3">
      <c r="A7" s="57">
        <v>1</v>
      </c>
      <c r="B7" s="58">
        <v>2</v>
      </c>
      <c r="C7" s="58">
        <v>3</v>
      </c>
    </row>
    <row r="8" spans="1:3" ht="20.399999999999999" customHeight="1" x14ac:dyDescent="0.25">
      <c r="A8" s="59" t="s">
        <v>83</v>
      </c>
      <c r="B8" s="60">
        <v>10</v>
      </c>
      <c r="C8" s="61"/>
    </row>
    <row r="9" spans="1:3" ht="21.6" customHeight="1" x14ac:dyDescent="0.25">
      <c r="A9" s="62" t="s">
        <v>84</v>
      </c>
      <c r="B9" s="63">
        <v>20</v>
      </c>
      <c r="C9" s="64"/>
    </row>
    <row r="10" spans="1:3" ht="17" customHeight="1" x14ac:dyDescent="0.25">
      <c r="A10" s="62" t="s">
        <v>99</v>
      </c>
      <c r="B10" s="63">
        <v>30</v>
      </c>
      <c r="C10" s="64"/>
    </row>
    <row r="11" spans="1:3" x14ac:dyDescent="0.25">
      <c r="A11" s="62"/>
      <c r="B11" s="64"/>
      <c r="C11" s="64"/>
    </row>
    <row r="12" spans="1:3" x14ac:dyDescent="0.25">
      <c r="A12" s="62" t="s">
        <v>100</v>
      </c>
      <c r="B12" s="63">
        <v>40</v>
      </c>
      <c r="C12" s="64"/>
    </row>
    <row r="13" spans="1:3" ht="14.95" thickBot="1" x14ac:dyDescent="0.3">
      <c r="A13" s="65"/>
      <c r="B13" s="66"/>
      <c r="C13" s="66"/>
    </row>
    <row r="14" spans="1:3" x14ac:dyDescent="0.25">
      <c r="A14" s="1"/>
    </row>
    <row r="15" spans="1:3" x14ac:dyDescent="0.25">
      <c r="A15" s="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view="pageBreakPreview" zoomScale="60" zoomScaleNormal="100" workbookViewId="0">
      <selection activeCell="A23" sqref="A23"/>
    </sheetView>
  </sheetViews>
  <sheetFormatPr defaultRowHeight="14.3" x14ac:dyDescent="0.25"/>
  <cols>
    <col min="1" max="1" width="50.875" customWidth="1"/>
  </cols>
  <sheetData>
    <row r="1" spans="1:3" x14ac:dyDescent="0.25">
      <c r="A1" s="288" t="s">
        <v>101</v>
      </c>
      <c r="B1" s="288"/>
      <c r="C1" s="288"/>
    </row>
    <row r="2" spans="1:3" ht="14.95" thickBot="1" x14ac:dyDescent="0.3">
      <c r="A2" s="28"/>
      <c r="B2" s="10"/>
      <c r="C2" s="10"/>
    </row>
    <row r="3" spans="1:3" ht="29.25" thickBot="1" x14ac:dyDescent="0.3">
      <c r="A3" s="29" t="s">
        <v>7</v>
      </c>
      <c r="B3" s="30" t="s">
        <v>46</v>
      </c>
      <c r="C3" s="30" t="s">
        <v>8</v>
      </c>
    </row>
    <row r="4" spans="1:3" ht="14.95" thickBot="1" x14ac:dyDescent="0.3">
      <c r="A4" s="57">
        <v>1</v>
      </c>
      <c r="B4" s="58">
        <v>2</v>
      </c>
      <c r="C4" s="58">
        <v>3</v>
      </c>
    </row>
    <row r="5" spans="1:3" ht="18" customHeight="1" x14ac:dyDescent="0.25">
      <c r="A5" s="59" t="s">
        <v>102</v>
      </c>
      <c r="B5" s="67">
        <v>10</v>
      </c>
      <c r="C5" s="59"/>
    </row>
    <row r="6" spans="1:3" ht="59.45" customHeight="1" x14ac:dyDescent="0.25">
      <c r="A6" s="68" t="s">
        <v>103</v>
      </c>
      <c r="B6" s="69">
        <v>20</v>
      </c>
      <c r="C6" s="62"/>
    </row>
    <row r="7" spans="1:3" ht="37.9" customHeight="1" thickBot="1" x14ac:dyDescent="0.3">
      <c r="A7" s="65" t="s">
        <v>104</v>
      </c>
      <c r="B7" s="70">
        <v>30</v>
      </c>
      <c r="C7" s="65"/>
    </row>
    <row r="8" spans="1:3" x14ac:dyDescent="0.25">
      <c r="A8" s="1"/>
    </row>
    <row r="9" spans="1:3" x14ac:dyDescent="0.25">
      <c r="A9" s="3"/>
    </row>
    <row r="10" spans="1:3" x14ac:dyDescent="0.25">
      <c r="A10" s="3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view="pageBreakPreview" zoomScale="60" zoomScaleNormal="100" workbookViewId="0">
      <selection activeCell="A17" sqref="A17"/>
    </sheetView>
  </sheetViews>
  <sheetFormatPr defaultRowHeight="14.3" x14ac:dyDescent="0.25"/>
  <cols>
    <col min="1" max="1" width="48.875" customWidth="1"/>
    <col min="2" max="3" width="17.75" customWidth="1"/>
    <col min="4" max="4" width="22.125" customWidth="1"/>
  </cols>
  <sheetData>
    <row r="1" spans="1:4" x14ac:dyDescent="0.25">
      <c r="A1" s="288" t="s">
        <v>150</v>
      </c>
      <c r="B1" s="288"/>
      <c r="C1" s="288"/>
      <c r="D1" s="288"/>
    </row>
    <row r="2" spans="1:4" x14ac:dyDescent="0.25">
      <c r="A2" s="288" t="s">
        <v>151</v>
      </c>
      <c r="B2" s="288"/>
      <c r="C2" s="288"/>
      <c r="D2" s="288"/>
    </row>
    <row r="3" spans="1:4" x14ac:dyDescent="0.25">
      <c r="A3" s="288" t="s">
        <v>408</v>
      </c>
      <c r="B3" s="288"/>
      <c r="C3" s="288"/>
      <c r="D3" s="288"/>
    </row>
    <row r="4" spans="1:4" ht="14.95" thickBot="1" x14ac:dyDescent="0.3">
      <c r="A4" s="28"/>
      <c r="B4" s="10"/>
      <c r="C4" s="10"/>
      <c r="D4" s="10"/>
    </row>
    <row r="5" spans="1:4" ht="76.099999999999994" customHeight="1" thickBot="1" x14ac:dyDescent="0.3">
      <c r="A5" s="83" t="s">
        <v>152</v>
      </c>
      <c r="B5" s="84" t="s">
        <v>153</v>
      </c>
      <c r="C5" s="84" t="s">
        <v>154</v>
      </c>
      <c r="D5" s="84" t="s">
        <v>155</v>
      </c>
    </row>
    <row r="6" spans="1:4" ht="51.8" customHeight="1" x14ac:dyDescent="0.25">
      <c r="A6" s="59" t="s">
        <v>156</v>
      </c>
      <c r="B6" s="85"/>
      <c r="C6" s="86"/>
      <c r="D6" s="87"/>
    </row>
    <row r="7" spans="1:4" x14ac:dyDescent="0.25">
      <c r="A7" s="62"/>
      <c r="B7" s="74"/>
      <c r="C7" s="34"/>
      <c r="D7" s="75"/>
    </row>
    <row r="8" spans="1:4" ht="40.1" customHeight="1" x14ac:dyDescent="0.25">
      <c r="A8" s="62" t="s">
        <v>157</v>
      </c>
      <c r="B8" s="74"/>
      <c r="C8" s="34"/>
      <c r="D8" s="75"/>
    </row>
    <row r="9" spans="1:4" x14ac:dyDescent="0.25">
      <c r="A9" s="62"/>
      <c r="B9" s="74"/>
      <c r="C9" s="34"/>
      <c r="D9" s="75"/>
    </row>
    <row r="10" spans="1:4" ht="44.5" customHeight="1" x14ac:dyDescent="0.25">
      <c r="A10" s="62" t="s">
        <v>158</v>
      </c>
      <c r="B10" s="74"/>
      <c r="C10" s="34"/>
      <c r="D10" s="75"/>
    </row>
    <row r="11" spans="1:4" x14ac:dyDescent="0.25">
      <c r="A11" s="62"/>
      <c r="B11" s="74"/>
      <c r="C11" s="34"/>
      <c r="D11" s="75"/>
    </row>
    <row r="12" spans="1:4" ht="44.5" customHeight="1" x14ac:dyDescent="0.25">
      <c r="A12" s="62" t="s">
        <v>159</v>
      </c>
      <c r="B12" s="74"/>
      <c r="C12" s="34"/>
      <c r="D12" s="75"/>
    </row>
    <row r="13" spans="1:4" ht="14.95" thickBot="1" x14ac:dyDescent="0.3">
      <c r="A13" s="31"/>
      <c r="B13" s="80"/>
      <c r="C13" s="81"/>
      <c r="D13" s="82"/>
    </row>
    <row r="14" spans="1:4" ht="14.95" thickBot="1" x14ac:dyDescent="0.3">
      <c r="A14" s="31" t="s">
        <v>160</v>
      </c>
      <c r="B14" s="88" t="s">
        <v>58</v>
      </c>
      <c r="C14" s="88" t="s">
        <v>58</v>
      </c>
      <c r="D14" s="32"/>
    </row>
    <row r="15" spans="1:4" ht="31.1" customHeight="1" x14ac:dyDescent="0.25">
      <c r="A15" s="10"/>
      <c r="B15" s="10"/>
      <c r="C15" s="10"/>
      <c r="D15" s="10"/>
    </row>
    <row r="16" spans="1:4" ht="31.1" customHeight="1" x14ac:dyDescent="0.25">
      <c r="A16" s="89" t="s">
        <v>224</v>
      </c>
      <c r="B16" s="56"/>
      <c r="C16" s="10"/>
      <c r="D16" s="232" t="s">
        <v>405</v>
      </c>
    </row>
    <row r="17" spans="1:4" s="5" customFormat="1" ht="18.7" customHeight="1" x14ac:dyDescent="0.2">
      <c r="A17" s="90"/>
      <c r="B17" s="90" t="s">
        <v>161</v>
      </c>
      <c r="C17" s="90"/>
      <c r="D17" s="91" t="s">
        <v>162</v>
      </c>
    </row>
    <row r="18" spans="1:4" ht="18" customHeight="1" x14ac:dyDescent="0.25">
      <c r="A18" s="10"/>
      <c r="B18" s="10"/>
      <c r="C18" s="10"/>
      <c r="D18" s="10"/>
    </row>
    <row r="19" spans="1:4" ht="18" customHeight="1" x14ac:dyDescent="0.25">
      <c r="A19" s="10" t="s">
        <v>163</v>
      </c>
      <c r="B19" s="56"/>
      <c r="C19" s="10"/>
      <c r="D19" s="122" t="s">
        <v>401</v>
      </c>
    </row>
    <row r="20" spans="1:4" s="4" customFormat="1" ht="18" customHeight="1" x14ac:dyDescent="0.25">
      <c r="A20" s="90"/>
      <c r="B20" s="90" t="s">
        <v>161</v>
      </c>
      <c r="C20" s="90"/>
      <c r="D20" s="91" t="s">
        <v>162</v>
      </c>
    </row>
    <row r="21" spans="1:4" x14ac:dyDescent="0.25">
      <c r="A21" s="10"/>
      <c r="B21" s="10"/>
      <c r="C21" s="10"/>
      <c r="D21" s="10"/>
    </row>
    <row r="22" spans="1:4" x14ac:dyDescent="0.25">
      <c r="A22" s="121" t="s">
        <v>212</v>
      </c>
    </row>
    <row r="23" spans="1:4" x14ac:dyDescent="0.25">
      <c r="A23" s="2" t="s">
        <v>409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scale="85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zoomScaleNormal="100" workbookViewId="0">
      <selection activeCell="L15" sqref="L15"/>
    </sheetView>
  </sheetViews>
  <sheetFormatPr defaultRowHeight="14.3" x14ac:dyDescent="0.25"/>
  <cols>
    <col min="1" max="1" width="53.25" customWidth="1"/>
    <col min="3" max="3" width="12.75" customWidth="1"/>
    <col min="4" max="4" width="11.375" bestFit="1" customWidth="1"/>
    <col min="5" max="5" width="13" customWidth="1"/>
    <col min="6" max="6" width="10.625" customWidth="1"/>
    <col min="7" max="7" width="11.75" customWidth="1"/>
    <col min="9" max="9" width="10" bestFit="1" customWidth="1"/>
  </cols>
  <sheetData>
    <row r="1" spans="1:11" x14ac:dyDescent="0.25">
      <c r="A1" s="288" t="s">
        <v>105</v>
      </c>
      <c r="B1" s="288"/>
      <c r="C1" s="288"/>
      <c r="D1" s="288"/>
      <c r="E1" s="288"/>
      <c r="F1" s="288"/>
      <c r="G1" s="288"/>
    </row>
    <row r="2" spans="1:11" x14ac:dyDescent="0.25">
      <c r="A2" s="288" t="s">
        <v>106</v>
      </c>
      <c r="B2" s="288"/>
      <c r="C2" s="288"/>
      <c r="D2" s="288"/>
      <c r="E2" s="288"/>
      <c r="F2" s="288"/>
      <c r="G2" s="288"/>
    </row>
    <row r="3" spans="1:11" x14ac:dyDescent="0.25">
      <c r="A3" s="288" t="s">
        <v>407</v>
      </c>
      <c r="B3" s="288"/>
      <c r="C3" s="288"/>
      <c r="D3" s="288"/>
      <c r="E3" s="288"/>
      <c r="F3" s="288"/>
      <c r="G3" s="288"/>
    </row>
    <row r="4" spans="1:11" ht="14.95" thickBot="1" x14ac:dyDescent="0.3">
      <c r="A4" s="28"/>
      <c r="B4" s="10"/>
      <c r="C4" s="10"/>
      <c r="D4" s="10"/>
      <c r="E4" s="10"/>
      <c r="F4" s="10"/>
      <c r="G4" s="10"/>
    </row>
    <row r="5" spans="1:11" ht="57.75" thickBot="1" x14ac:dyDescent="0.3">
      <c r="A5" s="29" t="s">
        <v>7</v>
      </c>
      <c r="B5" s="30" t="s">
        <v>107</v>
      </c>
      <c r="C5" s="30" t="s">
        <v>391</v>
      </c>
      <c r="D5" s="30" t="s">
        <v>392</v>
      </c>
      <c r="E5" s="30" t="s">
        <v>393</v>
      </c>
      <c r="F5" s="30" t="s">
        <v>394</v>
      </c>
      <c r="G5" s="30" t="s">
        <v>395</v>
      </c>
    </row>
    <row r="6" spans="1:11" ht="14.95" thickBot="1" x14ac:dyDescent="0.3">
      <c r="A6" s="57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</row>
    <row r="7" spans="1:11" ht="32.950000000000003" customHeight="1" x14ac:dyDescent="0.25">
      <c r="A7" s="59" t="s">
        <v>108</v>
      </c>
      <c r="B7" s="67" t="s">
        <v>58</v>
      </c>
      <c r="C7" s="71" t="s">
        <v>58</v>
      </c>
      <c r="D7" s="72" t="s">
        <v>58</v>
      </c>
      <c r="E7" s="72" t="s">
        <v>58</v>
      </c>
      <c r="F7" s="72" t="s">
        <v>58</v>
      </c>
      <c r="G7" s="73" t="s">
        <v>58</v>
      </c>
      <c r="H7" s="116"/>
    </row>
    <row r="8" spans="1:11" ht="15.65" customHeight="1" x14ac:dyDescent="0.25">
      <c r="A8" s="62" t="s">
        <v>109</v>
      </c>
      <c r="B8" s="69" t="s">
        <v>110</v>
      </c>
      <c r="C8" s="114">
        <f>C11+C13+C15</f>
        <v>39690.1</v>
      </c>
      <c r="D8" s="119">
        <f>D11+D13+D15</f>
        <v>42592.200000000004</v>
      </c>
      <c r="E8" s="119">
        <f>E11+E13+E15</f>
        <v>48264.2</v>
      </c>
      <c r="F8" s="119">
        <f t="shared" ref="F8" si="0">F11+F13+F15</f>
        <v>47913.5</v>
      </c>
      <c r="G8" s="119">
        <f>G11+G13+G15</f>
        <v>49590.2</v>
      </c>
      <c r="I8" s="231"/>
      <c r="K8" s="231"/>
    </row>
    <row r="9" spans="1:11" ht="15.65" customHeight="1" x14ac:dyDescent="0.25">
      <c r="A9" s="76" t="s">
        <v>111</v>
      </c>
      <c r="B9" s="69" t="s">
        <v>110</v>
      </c>
      <c r="C9" s="115">
        <f t="shared" ref="C9" si="1">C12+C14+C16</f>
        <v>4062.87</v>
      </c>
      <c r="D9" s="119">
        <f>D12+D14</f>
        <v>5654.1</v>
      </c>
      <c r="E9" s="119">
        <f>E12+E14</f>
        <v>5954.1</v>
      </c>
      <c r="F9" s="119">
        <f t="shared" ref="F9:G9" si="2">F12+F14</f>
        <v>5954.1</v>
      </c>
      <c r="G9" s="119">
        <f t="shared" si="2"/>
        <v>5954.1</v>
      </c>
      <c r="J9" s="125"/>
    </row>
    <row r="10" spans="1:11" ht="15.65" customHeight="1" x14ac:dyDescent="0.25">
      <c r="A10" s="76" t="s">
        <v>12</v>
      </c>
      <c r="B10" s="62"/>
      <c r="C10" s="114"/>
      <c r="D10" s="119"/>
      <c r="E10" s="119"/>
      <c r="F10" s="119"/>
      <c r="G10" s="230"/>
      <c r="I10" s="125"/>
    </row>
    <row r="11" spans="1:11" ht="28.2" customHeight="1" x14ac:dyDescent="0.25">
      <c r="A11" s="76" t="s">
        <v>112</v>
      </c>
      <c r="B11" s="69" t="s">
        <v>110</v>
      </c>
      <c r="C11" s="114">
        <v>1838.6</v>
      </c>
      <c r="D11" s="119">
        <v>1821.2</v>
      </c>
      <c r="E11" s="119">
        <v>1821.2</v>
      </c>
      <c r="F11" s="119">
        <v>1821.2</v>
      </c>
      <c r="G11" s="119">
        <v>1821.2</v>
      </c>
    </row>
    <row r="12" spans="1:11" ht="16.149999999999999" customHeight="1" x14ac:dyDescent="0.25">
      <c r="A12" s="76" t="s">
        <v>111</v>
      </c>
      <c r="B12" s="69" t="s">
        <v>110</v>
      </c>
      <c r="C12" s="114">
        <v>451.42</v>
      </c>
      <c r="D12" s="119">
        <v>718</v>
      </c>
      <c r="E12" s="119">
        <v>718</v>
      </c>
      <c r="F12" s="119">
        <v>718</v>
      </c>
      <c r="G12" s="119">
        <v>718</v>
      </c>
    </row>
    <row r="13" spans="1:11" ht="30.6" customHeight="1" x14ac:dyDescent="0.25">
      <c r="A13" s="76" t="s">
        <v>113</v>
      </c>
      <c r="B13" s="69" t="s">
        <v>110</v>
      </c>
      <c r="C13" s="114">
        <f>13958.4-C20-C19</f>
        <v>12717.8</v>
      </c>
      <c r="D13" s="119">
        <v>13742.9</v>
      </c>
      <c r="E13" s="119">
        <v>14844.3</v>
      </c>
      <c r="F13" s="119">
        <v>14844.3</v>
      </c>
      <c r="G13" s="119">
        <v>14844.3</v>
      </c>
      <c r="H13" s="231"/>
      <c r="I13" s="125"/>
    </row>
    <row r="14" spans="1:11" ht="20.399999999999999" customHeight="1" x14ac:dyDescent="0.25">
      <c r="A14" s="76" t="s">
        <v>111</v>
      </c>
      <c r="B14" s="69" t="s">
        <v>110</v>
      </c>
      <c r="C14" s="114">
        <v>3611.45</v>
      </c>
      <c r="D14" s="119">
        <v>4936.1000000000004</v>
      </c>
      <c r="E14" s="119">
        <v>5236.1000000000004</v>
      </c>
      <c r="F14" s="119">
        <v>5236.1000000000004</v>
      </c>
      <c r="G14" s="119">
        <v>5236.1000000000004</v>
      </c>
      <c r="J14" s="231"/>
    </row>
    <row r="15" spans="1:11" ht="48.6" customHeight="1" x14ac:dyDescent="0.25">
      <c r="A15" s="62" t="s">
        <v>114</v>
      </c>
      <c r="B15" s="69" t="s">
        <v>110</v>
      </c>
      <c r="C15" s="114">
        <f>23893.1+C20+C19</f>
        <v>25133.699999999997</v>
      </c>
      <c r="D15" s="119">
        <f>D17+D19+D20</f>
        <v>27028.100000000002</v>
      </c>
      <c r="E15" s="119">
        <f>E17+E19+E20</f>
        <v>31598.699999999997</v>
      </c>
      <c r="F15" s="119">
        <f>F17+F19+F20</f>
        <v>31247.999999999996</v>
      </c>
      <c r="G15" s="119">
        <f>G17+G19+G20</f>
        <v>32924.699999999997</v>
      </c>
    </row>
    <row r="16" spans="1:11" ht="17" customHeight="1" x14ac:dyDescent="0.25">
      <c r="A16" s="76" t="s">
        <v>115</v>
      </c>
      <c r="B16" s="62"/>
      <c r="C16" s="114"/>
      <c r="D16" s="119"/>
      <c r="E16" s="119"/>
      <c r="F16" s="119"/>
      <c r="G16" s="230"/>
    </row>
    <row r="17" spans="1:11" ht="17" customHeight="1" x14ac:dyDescent="0.25">
      <c r="A17" s="142" t="s">
        <v>215</v>
      </c>
      <c r="B17" s="62" t="s">
        <v>110</v>
      </c>
      <c r="C17" s="114">
        <v>23893.1</v>
      </c>
      <c r="D17" s="119">
        <v>25164.7</v>
      </c>
      <c r="E17" s="119">
        <v>29192.799999999999</v>
      </c>
      <c r="F17" s="119">
        <v>28842.1</v>
      </c>
      <c r="G17" s="119">
        <v>30418.7</v>
      </c>
      <c r="H17" s="125"/>
      <c r="I17" s="231"/>
      <c r="K17" s="231"/>
    </row>
    <row r="18" spans="1:11" ht="17" customHeight="1" x14ac:dyDescent="0.25">
      <c r="A18" s="76" t="s">
        <v>219</v>
      </c>
      <c r="B18" s="69" t="s">
        <v>110</v>
      </c>
      <c r="C18" s="114">
        <v>17198.099999999999</v>
      </c>
      <c r="D18" s="119">
        <v>18352.2</v>
      </c>
      <c r="E18" s="119">
        <v>22380.3</v>
      </c>
      <c r="F18" s="119">
        <v>22380.3</v>
      </c>
      <c r="G18" s="119">
        <v>22039.4</v>
      </c>
      <c r="I18" s="125"/>
    </row>
    <row r="19" spans="1:11" ht="17" customHeight="1" x14ac:dyDescent="0.25">
      <c r="A19" s="76" t="s">
        <v>217</v>
      </c>
      <c r="B19" s="69" t="s">
        <v>110</v>
      </c>
      <c r="C19" s="115">
        <v>1232</v>
      </c>
      <c r="D19" s="119">
        <v>1847.2</v>
      </c>
      <c r="E19" s="119">
        <v>2386.3000000000002</v>
      </c>
      <c r="F19" s="119">
        <v>2386.3000000000002</v>
      </c>
      <c r="G19" s="119">
        <v>2486.4</v>
      </c>
      <c r="I19" s="125"/>
    </row>
    <row r="20" spans="1:11" ht="17" customHeight="1" x14ac:dyDescent="0.25">
      <c r="A20" s="76" t="s">
        <v>216</v>
      </c>
      <c r="B20" s="69" t="s">
        <v>110</v>
      </c>
      <c r="C20" s="115">
        <v>8.6</v>
      </c>
      <c r="D20" s="119">
        <v>16.2</v>
      </c>
      <c r="E20" s="119">
        <v>19.600000000000001</v>
      </c>
      <c r="F20" s="119">
        <v>19.600000000000001</v>
      </c>
      <c r="G20" s="119">
        <v>19.600000000000001</v>
      </c>
      <c r="I20" s="125"/>
    </row>
    <row r="21" spans="1:11" ht="35" customHeight="1" x14ac:dyDescent="0.25">
      <c r="A21" s="62" t="s">
        <v>116</v>
      </c>
      <c r="B21" s="69" t="s">
        <v>117</v>
      </c>
      <c r="C21" s="119">
        <f>C23+C24+C29</f>
        <v>133.80000000000001</v>
      </c>
      <c r="D21" s="119">
        <f>D23+D24+D29</f>
        <v>131.69999999999999</v>
      </c>
      <c r="E21" s="119">
        <f>E23+E24+E29</f>
        <v>131.69999999999999</v>
      </c>
      <c r="F21" s="119">
        <f t="shared" ref="F21:G21" si="3">F23+F24+F29</f>
        <v>131.69999999999999</v>
      </c>
      <c r="G21" s="119">
        <f t="shared" si="3"/>
        <v>131.69999999999999</v>
      </c>
    </row>
    <row r="22" spans="1:11" ht="19.899999999999999" customHeight="1" x14ac:dyDescent="0.25">
      <c r="A22" s="76" t="s">
        <v>12</v>
      </c>
      <c r="B22" s="62"/>
      <c r="C22" s="120"/>
      <c r="D22" s="119"/>
      <c r="E22" s="119"/>
      <c r="F22" s="119"/>
      <c r="G22" s="230"/>
    </row>
    <row r="23" spans="1:11" ht="36.700000000000003" customHeight="1" x14ac:dyDescent="0.25">
      <c r="A23" s="62" t="s">
        <v>118</v>
      </c>
      <c r="B23" s="69" t="s">
        <v>117</v>
      </c>
      <c r="C23" s="120">
        <v>3</v>
      </c>
      <c r="D23" s="119">
        <v>3</v>
      </c>
      <c r="E23" s="119">
        <v>3</v>
      </c>
      <c r="F23" s="119">
        <v>3</v>
      </c>
      <c r="G23" s="119">
        <v>3</v>
      </c>
    </row>
    <row r="24" spans="1:11" ht="34.15" customHeight="1" x14ac:dyDescent="0.25">
      <c r="A24" s="62" t="s">
        <v>119</v>
      </c>
      <c r="B24" s="69" t="s">
        <v>117</v>
      </c>
      <c r="C24" s="120">
        <f>70.1-C33-C34</f>
        <v>66.2</v>
      </c>
      <c r="D24" s="119">
        <v>64.8</v>
      </c>
      <c r="E24" s="119">
        <v>64.8</v>
      </c>
      <c r="F24" s="119">
        <v>64.8</v>
      </c>
      <c r="G24" s="119">
        <v>64.8</v>
      </c>
    </row>
    <row r="25" spans="1:11" ht="40.950000000000003" customHeight="1" x14ac:dyDescent="0.25">
      <c r="A25" s="62" t="s">
        <v>120</v>
      </c>
      <c r="B25" s="69" t="s">
        <v>117</v>
      </c>
      <c r="C25" s="120">
        <v>1</v>
      </c>
      <c r="D25" s="119">
        <v>133</v>
      </c>
      <c r="E25" s="119">
        <v>133</v>
      </c>
      <c r="F25" s="119">
        <v>133</v>
      </c>
      <c r="G25" s="119">
        <v>133</v>
      </c>
    </row>
    <row r="26" spans="1:11" ht="17" customHeight="1" x14ac:dyDescent="0.25">
      <c r="A26" s="62" t="s">
        <v>12</v>
      </c>
      <c r="B26" s="62"/>
      <c r="C26" s="120"/>
      <c r="D26" s="119"/>
      <c r="E26" s="119"/>
      <c r="F26" s="119"/>
      <c r="G26" s="230"/>
    </row>
    <row r="27" spans="1:11" ht="47.4" customHeight="1" x14ac:dyDescent="0.25">
      <c r="A27" s="62" t="s">
        <v>121</v>
      </c>
      <c r="B27" s="69" t="s">
        <v>117</v>
      </c>
      <c r="C27" s="120">
        <v>1</v>
      </c>
      <c r="D27" s="119">
        <v>3</v>
      </c>
      <c r="E27" s="119">
        <v>3</v>
      </c>
      <c r="F27" s="119">
        <v>3</v>
      </c>
      <c r="G27" s="119">
        <v>3</v>
      </c>
    </row>
    <row r="28" spans="1:11" ht="55.2" customHeight="1" x14ac:dyDescent="0.25">
      <c r="A28" s="62" t="s">
        <v>122</v>
      </c>
      <c r="B28" s="69" t="s">
        <v>117</v>
      </c>
      <c r="C28" s="120">
        <v>0</v>
      </c>
      <c r="D28" s="119">
        <v>67</v>
      </c>
      <c r="E28" s="119">
        <v>67</v>
      </c>
      <c r="F28" s="119">
        <v>67</v>
      </c>
      <c r="G28" s="119">
        <v>67</v>
      </c>
    </row>
    <row r="29" spans="1:11" ht="57.6" customHeight="1" x14ac:dyDescent="0.25">
      <c r="A29" s="62" t="s">
        <v>123</v>
      </c>
      <c r="B29" s="69" t="s">
        <v>117</v>
      </c>
      <c r="C29" s="114">
        <f>60.7+C33+C34</f>
        <v>64.599999999999994</v>
      </c>
      <c r="D29" s="119">
        <v>63.9</v>
      </c>
      <c r="E29" s="119">
        <v>63.9</v>
      </c>
      <c r="F29" s="119">
        <f t="shared" ref="F29:G29" si="4">F31+F33+F34</f>
        <v>63.9</v>
      </c>
      <c r="G29" s="119">
        <f t="shared" si="4"/>
        <v>63.9</v>
      </c>
    </row>
    <row r="30" spans="1:11" ht="21.1" customHeight="1" x14ac:dyDescent="0.25">
      <c r="A30" s="62" t="s">
        <v>115</v>
      </c>
      <c r="B30" s="62"/>
      <c r="C30" s="114"/>
      <c r="D30" s="119"/>
      <c r="E30" s="119"/>
      <c r="F30" s="119"/>
      <c r="G30" s="230"/>
    </row>
    <row r="31" spans="1:11" ht="21.1" customHeight="1" x14ac:dyDescent="0.25">
      <c r="A31" s="143" t="s">
        <v>215</v>
      </c>
      <c r="B31" s="144" t="s">
        <v>117</v>
      </c>
      <c r="C31" s="141">
        <v>60.7</v>
      </c>
      <c r="D31" s="236">
        <v>59.8</v>
      </c>
      <c r="E31" s="236">
        <v>59.8</v>
      </c>
      <c r="F31" s="236">
        <v>59.8</v>
      </c>
      <c r="G31" s="236">
        <v>59.8</v>
      </c>
    </row>
    <row r="32" spans="1:11" ht="21.1" customHeight="1" x14ac:dyDescent="0.25">
      <c r="A32" s="62" t="s">
        <v>208</v>
      </c>
      <c r="B32" s="69" t="s">
        <v>117</v>
      </c>
      <c r="C32" s="114">
        <v>44.1</v>
      </c>
      <c r="D32" s="119">
        <v>45.78</v>
      </c>
      <c r="E32" s="119">
        <v>45.78</v>
      </c>
      <c r="F32" s="119">
        <v>45.78</v>
      </c>
      <c r="G32" s="119">
        <v>45.78</v>
      </c>
    </row>
    <row r="33" spans="1:7" ht="21.1" customHeight="1" x14ac:dyDescent="0.25">
      <c r="A33" s="62" t="s">
        <v>217</v>
      </c>
      <c r="B33" s="69" t="s">
        <v>117</v>
      </c>
      <c r="C33" s="114">
        <v>3.8</v>
      </c>
      <c r="D33" s="237">
        <v>4</v>
      </c>
      <c r="E33" s="237">
        <v>4</v>
      </c>
      <c r="F33" s="237">
        <v>4</v>
      </c>
      <c r="G33" s="237">
        <v>4</v>
      </c>
    </row>
    <row r="34" spans="1:7" ht="21.1" customHeight="1" x14ac:dyDescent="0.25">
      <c r="A34" s="62" t="s">
        <v>216</v>
      </c>
      <c r="B34" s="69" t="s">
        <v>117</v>
      </c>
      <c r="C34" s="114">
        <v>0.1</v>
      </c>
      <c r="D34" s="119">
        <v>0.1</v>
      </c>
      <c r="E34" s="119">
        <v>0.1</v>
      </c>
      <c r="F34" s="119">
        <v>0.1</v>
      </c>
      <c r="G34" s="119">
        <v>0.1</v>
      </c>
    </row>
    <row r="35" spans="1:7" ht="57.75" customHeight="1" x14ac:dyDescent="0.25">
      <c r="A35" s="62" t="s">
        <v>124</v>
      </c>
      <c r="B35" s="69" t="s">
        <v>125</v>
      </c>
      <c r="C35" s="114">
        <v>35834.5</v>
      </c>
      <c r="D35" s="119">
        <v>36788.1</v>
      </c>
      <c r="E35" s="119">
        <v>36987.800000000003</v>
      </c>
      <c r="F35" s="119">
        <v>38716.6</v>
      </c>
      <c r="G35" s="230">
        <v>40118.400000000001</v>
      </c>
    </row>
    <row r="36" spans="1:7" ht="19.55" customHeight="1" x14ac:dyDescent="0.25">
      <c r="A36" s="62" t="s">
        <v>396</v>
      </c>
      <c r="B36" s="69" t="s">
        <v>125</v>
      </c>
      <c r="C36" s="233">
        <v>38403.5</v>
      </c>
      <c r="D36" s="120">
        <v>41940</v>
      </c>
      <c r="E36" s="120">
        <v>49300</v>
      </c>
      <c r="F36" s="120">
        <v>51800</v>
      </c>
      <c r="G36" s="120">
        <v>51800</v>
      </c>
    </row>
    <row r="37" spans="1:7" ht="30.6" customHeight="1" x14ac:dyDescent="0.25">
      <c r="A37" s="62" t="s">
        <v>126</v>
      </c>
      <c r="B37" s="69" t="s">
        <v>125</v>
      </c>
      <c r="C37" s="77" t="s">
        <v>58</v>
      </c>
      <c r="D37" s="33" t="s">
        <v>58</v>
      </c>
      <c r="E37" s="33" t="s">
        <v>58</v>
      </c>
      <c r="F37" s="33" t="s">
        <v>58</v>
      </c>
      <c r="G37" s="78" t="s">
        <v>58</v>
      </c>
    </row>
    <row r="38" spans="1:7" ht="30.6" customHeight="1" x14ac:dyDescent="0.25">
      <c r="A38" s="62" t="s">
        <v>127</v>
      </c>
      <c r="B38" s="62"/>
      <c r="C38" s="112"/>
      <c r="D38" s="113"/>
      <c r="E38" s="113"/>
      <c r="F38" s="113"/>
      <c r="G38" s="136"/>
    </row>
    <row r="39" spans="1:7" ht="30.6" customHeight="1" x14ac:dyDescent="0.25">
      <c r="A39" s="62" t="s">
        <v>215</v>
      </c>
      <c r="B39" s="69" t="s">
        <v>125</v>
      </c>
      <c r="C39" s="113">
        <f>C17/C31/12*1000</f>
        <v>32802.169137836354</v>
      </c>
      <c r="D39" s="113">
        <f>D17/D31/12*1000</f>
        <v>35067.86510590859</v>
      </c>
      <c r="E39" s="113">
        <f t="shared" ref="E39:G39" si="5">E17/E31/12*1000</f>
        <v>40681.159420289849</v>
      </c>
      <c r="F39" s="113">
        <f t="shared" si="5"/>
        <v>40192.447045707915</v>
      </c>
      <c r="G39" s="113">
        <f t="shared" si="5"/>
        <v>42389.492753623192</v>
      </c>
    </row>
    <row r="40" spans="1:7" x14ac:dyDescent="0.25">
      <c r="A40" s="62" t="s">
        <v>208</v>
      </c>
      <c r="B40" s="69" t="s">
        <v>125</v>
      </c>
      <c r="C40" s="113">
        <f t="shared" ref="C40:G40" si="6">C18/C32/12*1000</f>
        <v>32498.299319727885</v>
      </c>
      <c r="D40" s="113">
        <f>D18/D32/12*1000</f>
        <v>33406.509392747925</v>
      </c>
      <c r="E40" s="113">
        <f>E18/E32/12*1000</f>
        <v>40738.859764089124</v>
      </c>
      <c r="F40" s="113">
        <f t="shared" si="6"/>
        <v>40738.859764089124</v>
      </c>
      <c r="G40" s="113">
        <f t="shared" si="6"/>
        <v>40118.319499053447</v>
      </c>
    </row>
    <row r="41" spans="1:7" x14ac:dyDescent="0.25">
      <c r="A41" s="62" t="s">
        <v>217</v>
      </c>
      <c r="B41" s="69" t="s">
        <v>125</v>
      </c>
      <c r="C41" s="113">
        <f>C19/C33/12*1000</f>
        <v>27017.543859649122</v>
      </c>
      <c r="D41" s="113">
        <f>D19/D33/12*1000</f>
        <v>38483.333333333336</v>
      </c>
      <c r="E41" s="113">
        <f t="shared" ref="E41:G41" si="7">E19/E33/12*1000</f>
        <v>49714.583333333336</v>
      </c>
      <c r="F41" s="113">
        <f t="shared" si="7"/>
        <v>49714.583333333336</v>
      </c>
      <c r="G41" s="113">
        <f t="shared" si="7"/>
        <v>51800.000000000007</v>
      </c>
    </row>
    <row r="42" spans="1:7" x14ac:dyDescent="0.25">
      <c r="A42" s="62" t="s">
        <v>216</v>
      </c>
      <c r="B42" s="69" t="s">
        <v>125</v>
      </c>
      <c r="C42" s="113">
        <f>C20/C34/12*1000</f>
        <v>7166.6666666666652</v>
      </c>
      <c r="D42" s="113">
        <f>D20/D34/12*1000</f>
        <v>13499.999999999998</v>
      </c>
      <c r="E42" s="113">
        <f>E20/E34/12*1000</f>
        <v>16333.333333333332</v>
      </c>
      <c r="F42" s="113">
        <f t="shared" ref="F42:G42" si="8">F20/F34/12*1000</f>
        <v>16333.333333333332</v>
      </c>
      <c r="G42" s="113">
        <f t="shared" si="8"/>
        <v>16333.333333333332</v>
      </c>
    </row>
    <row r="43" spans="1:7" ht="41.95" customHeight="1" x14ac:dyDescent="0.25">
      <c r="A43" s="62" t="s">
        <v>128</v>
      </c>
      <c r="B43" s="69" t="s">
        <v>129</v>
      </c>
      <c r="C43" s="113">
        <f>(C11/C23/12)/(C8/C21/12)*100</f>
        <v>206.60456889753368</v>
      </c>
      <c r="D43" s="113">
        <f>(D11/D23/12)/(D8/D21/12)*100</f>
        <v>187.71202238907591</v>
      </c>
      <c r="E43" s="113">
        <f>(E11/E23/12)/(E8/E21/12)*100</f>
        <v>165.65213968117158</v>
      </c>
      <c r="F43" s="113">
        <f>(F11/F23/12)/(F8/F21/12)*100</f>
        <v>166.86462061840609</v>
      </c>
      <c r="G43" s="113">
        <f>(G11/G23/12)/(G8/G21/12)*100</f>
        <v>161.22274159007225</v>
      </c>
    </row>
    <row r="44" spans="1:7" ht="58.1" customHeight="1" x14ac:dyDescent="0.25">
      <c r="A44" s="62" t="s">
        <v>130</v>
      </c>
      <c r="B44" s="69" t="s">
        <v>129</v>
      </c>
      <c r="C44" s="77" t="s">
        <v>58</v>
      </c>
      <c r="D44" s="33" t="s">
        <v>58</v>
      </c>
      <c r="E44" s="33" t="s">
        <v>58</v>
      </c>
      <c r="F44" s="33" t="s">
        <v>58</v>
      </c>
      <c r="G44" s="78" t="s">
        <v>58</v>
      </c>
    </row>
    <row r="45" spans="1:7" ht="41.3" customHeight="1" x14ac:dyDescent="0.25">
      <c r="A45" s="62" t="s">
        <v>127</v>
      </c>
      <c r="B45" s="62"/>
      <c r="C45" s="74"/>
      <c r="D45" s="34"/>
      <c r="E45" s="34"/>
      <c r="F45" s="34"/>
      <c r="G45" s="34"/>
    </row>
    <row r="46" spans="1:7" ht="41.3" customHeight="1" x14ac:dyDescent="0.25">
      <c r="A46" s="62" t="s">
        <v>215</v>
      </c>
      <c r="B46" s="69" t="s">
        <v>129</v>
      </c>
      <c r="C46" s="138">
        <f>C39/C35*100</f>
        <v>91.537956823274641</v>
      </c>
      <c r="D46" s="137">
        <f t="shared" ref="D46:G46" si="9">D39/D35*100</f>
        <v>95.323936560759023</v>
      </c>
      <c r="E46" s="137">
        <f t="shared" si="9"/>
        <v>109.98534495236225</v>
      </c>
      <c r="F46" s="137">
        <f t="shared" si="9"/>
        <v>103.81192316915204</v>
      </c>
      <c r="G46" s="137">
        <f t="shared" si="9"/>
        <v>105.66097539688319</v>
      </c>
    </row>
    <row r="47" spans="1:7" x14ac:dyDescent="0.25">
      <c r="A47" s="62" t="s">
        <v>208</v>
      </c>
      <c r="B47" s="69" t="s">
        <v>129</v>
      </c>
      <c r="C47" s="139">
        <f t="shared" ref="C47:D47" si="10">C40/C35*100</f>
        <v>90.689975637243109</v>
      </c>
      <c r="D47" s="139">
        <f t="shared" si="10"/>
        <v>90.807922650933108</v>
      </c>
      <c r="E47" s="139">
        <f>E40/E35*100</f>
        <v>110.14134326477682</v>
      </c>
      <c r="F47" s="139">
        <f>F40/F35*100</f>
        <v>105.22323696835241</v>
      </c>
      <c r="G47" s="139">
        <f>G40/G35*100</f>
        <v>99.999799341582531</v>
      </c>
    </row>
    <row r="48" spans="1:7" x14ac:dyDescent="0.25">
      <c r="A48" s="62" t="s">
        <v>217</v>
      </c>
      <c r="B48" s="69" t="s">
        <v>129</v>
      </c>
      <c r="C48" s="137">
        <f>C41/C35</f>
        <v>0.7539534208555756</v>
      </c>
      <c r="D48" s="137">
        <f>D41/D35</f>
        <v>1.0460810243892273</v>
      </c>
      <c r="E48" s="137">
        <f t="shared" ref="E48:G48" si="11">E41/E35</f>
        <v>1.3440805707107029</v>
      </c>
      <c r="F48" s="137">
        <f t="shared" si="11"/>
        <v>1.2840637693736883</v>
      </c>
      <c r="G48" s="137">
        <f t="shared" si="11"/>
        <v>1.291178112786153</v>
      </c>
    </row>
    <row r="49" spans="1:7" x14ac:dyDescent="0.25">
      <c r="A49" s="62" t="s">
        <v>216</v>
      </c>
      <c r="B49" s="69" t="s">
        <v>129</v>
      </c>
      <c r="C49" s="137">
        <f>C42/C35</f>
        <v>0.19999348858409258</v>
      </c>
      <c r="D49" s="137">
        <f t="shared" ref="D49:G49" si="12">D42/D35</f>
        <v>0.36696649188188568</v>
      </c>
      <c r="E49" s="137">
        <f t="shared" si="12"/>
        <v>0.44158704581871133</v>
      </c>
      <c r="F49" s="137">
        <f t="shared" si="12"/>
        <v>0.42186900020490781</v>
      </c>
      <c r="G49" s="137">
        <f t="shared" si="12"/>
        <v>0.40712823376139956</v>
      </c>
    </row>
    <row r="50" spans="1:7" ht="34.15" customHeight="1" x14ac:dyDescent="0.25">
      <c r="A50" s="62" t="s">
        <v>131</v>
      </c>
      <c r="B50" s="69" t="s">
        <v>58</v>
      </c>
      <c r="C50" s="77" t="s">
        <v>58</v>
      </c>
      <c r="D50" s="33" t="s">
        <v>58</v>
      </c>
      <c r="E50" s="33" t="s">
        <v>58</v>
      </c>
      <c r="F50" s="33" t="s">
        <v>58</v>
      </c>
      <c r="G50" s="78" t="s">
        <v>58</v>
      </c>
    </row>
    <row r="51" spans="1:7" ht="32.450000000000003" customHeight="1" x14ac:dyDescent="0.25">
      <c r="A51" s="62" t="s">
        <v>132</v>
      </c>
      <c r="B51" s="69" t="s">
        <v>133</v>
      </c>
      <c r="C51" s="112">
        <v>9482.7000000000007</v>
      </c>
      <c r="D51" s="112">
        <v>9482.7000000000007</v>
      </c>
      <c r="E51" s="112">
        <v>9482.7000000000007</v>
      </c>
      <c r="F51" s="112">
        <v>9482.7000000000007</v>
      </c>
      <c r="G51" s="112">
        <v>9482.7000000000007</v>
      </c>
    </row>
    <row r="52" spans="1:7" ht="18" customHeight="1" x14ac:dyDescent="0.25">
      <c r="A52" s="62" t="s">
        <v>12</v>
      </c>
      <c r="B52" s="62"/>
      <c r="C52" s="74"/>
      <c r="D52" s="34"/>
      <c r="E52" s="34"/>
      <c r="F52" s="34"/>
      <c r="G52" s="75"/>
    </row>
    <row r="53" spans="1:7" ht="32.450000000000003" customHeight="1" x14ac:dyDescent="0.25">
      <c r="A53" s="62" t="s">
        <v>134</v>
      </c>
      <c r="B53" s="69" t="s">
        <v>133</v>
      </c>
      <c r="C53" s="112">
        <v>9482.7000000000007</v>
      </c>
      <c r="D53" s="112">
        <v>9482.7000000000007</v>
      </c>
      <c r="E53" s="112">
        <v>9482.7000000000007</v>
      </c>
      <c r="F53" s="112">
        <v>9482.7000000000007</v>
      </c>
      <c r="G53" s="112">
        <v>9482.7000000000007</v>
      </c>
    </row>
    <row r="54" spans="1:7" ht="41.95" customHeight="1" x14ac:dyDescent="0.25">
      <c r="A54" s="62" t="s">
        <v>135</v>
      </c>
      <c r="B54" s="69" t="s">
        <v>133</v>
      </c>
      <c r="C54" s="112">
        <v>9482.7000000000007</v>
      </c>
      <c r="D54" s="112">
        <v>9482.7000000000007</v>
      </c>
      <c r="E54" s="112">
        <v>9482.7000000000007</v>
      </c>
      <c r="F54" s="112">
        <v>9482.7000000000007</v>
      </c>
      <c r="G54" s="112">
        <v>9482.7000000000007</v>
      </c>
    </row>
    <row r="55" spans="1:7" ht="28.9" customHeight="1" x14ac:dyDescent="0.25">
      <c r="A55" s="62" t="s">
        <v>136</v>
      </c>
      <c r="B55" s="69" t="s">
        <v>133</v>
      </c>
      <c r="C55" s="77" t="s">
        <v>206</v>
      </c>
      <c r="D55" s="34"/>
      <c r="E55" s="34"/>
      <c r="F55" s="34"/>
      <c r="G55" s="75"/>
    </row>
    <row r="56" spans="1:7" ht="32.450000000000003" customHeight="1" x14ac:dyDescent="0.25">
      <c r="A56" s="62" t="s">
        <v>137</v>
      </c>
      <c r="B56" s="69" t="s">
        <v>110</v>
      </c>
      <c r="C56" s="77" t="s">
        <v>206</v>
      </c>
      <c r="D56" s="34"/>
      <c r="E56" s="34"/>
      <c r="F56" s="34"/>
      <c r="G56" s="75"/>
    </row>
    <row r="57" spans="1:7" ht="18.7" customHeight="1" x14ac:dyDescent="0.25">
      <c r="A57" s="62" t="s">
        <v>12</v>
      </c>
      <c r="B57" s="62"/>
      <c r="C57" s="74"/>
      <c r="D57" s="34"/>
      <c r="E57" s="34"/>
      <c r="F57" s="34"/>
      <c r="G57" s="75"/>
    </row>
    <row r="58" spans="1:7" ht="52.15" customHeight="1" x14ac:dyDescent="0.25">
      <c r="A58" s="62" t="s">
        <v>138</v>
      </c>
      <c r="B58" s="69" t="s">
        <v>110</v>
      </c>
      <c r="C58" s="77" t="s">
        <v>206</v>
      </c>
      <c r="D58" s="34"/>
      <c r="E58" s="34"/>
      <c r="F58" s="34"/>
      <c r="G58" s="75"/>
    </row>
    <row r="59" spans="1:7" ht="62" customHeight="1" x14ac:dyDescent="0.25">
      <c r="A59" s="62" t="s">
        <v>139</v>
      </c>
      <c r="B59" s="69" t="s">
        <v>140</v>
      </c>
      <c r="C59" s="74">
        <v>2.59</v>
      </c>
      <c r="D59" s="34"/>
      <c r="E59" s="34"/>
      <c r="F59" s="34"/>
      <c r="G59" s="75"/>
    </row>
    <row r="60" spans="1:7" ht="68.45" customHeight="1" x14ac:dyDescent="0.25">
      <c r="A60" s="62" t="s">
        <v>141</v>
      </c>
      <c r="B60" s="69" t="s">
        <v>140</v>
      </c>
      <c r="C60" s="74"/>
      <c r="D60" s="34"/>
      <c r="E60" s="34"/>
      <c r="F60" s="34"/>
      <c r="G60" s="75"/>
    </row>
    <row r="61" spans="1:7" ht="76.099999999999994" customHeight="1" x14ac:dyDescent="0.25">
      <c r="A61" s="62" t="s">
        <v>142</v>
      </c>
      <c r="B61" s="69" t="s">
        <v>140</v>
      </c>
      <c r="C61" s="74"/>
      <c r="D61" s="34"/>
      <c r="E61" s="34"/>
      <c r="F61" s="34"/>
      <c r="G61" s="75"/>
    </row>
    <row r="62" spans="1:7" ht="19.2" customHeight="1" x14ac:dyDescent="0.25">
      <c r="A62" s="62" t="s">
        <v>12</v>
      </c>
      <c r="B62" s="62"/>
      <c r="C62" s="74"/>
      <c r="D62" s="34"/>
      <c r="E62" s="34"/>
      <c r="F62" s="34"/>
      <c r="G62" s="75"/>
    </row>
    <row r="63" spans="1:7" x14ac:dyDescent="0.25">
      <c r="A63" s="62"/>
      <c r="B63" s="69" t="s">
        <v>140</v>
      </c>
      <c r="C63" s="74"/>
      <c r="D63" s="34"/>
      <c r="E63" s="34"/>
      <c r="F63" s="34"/>
      <c r="G63" s="75"/>
    </row>
    <row r="64" spans="1:7" ht="27.7" customHeight="1" x14ac:dyDescent="0.25">
      <c r="A64" s="62" t="s">
        <v>143</v>
      </c>
      <c r="B64" s="62"/>
      <c r="C64" s="74"/>
      <c r="D64" s="34"/>
      <c r="E64" s="34"/>
      <c r="F64" s="34"/>
      <c r="G64" s="75"/>
    </row>
    <row r="65" spans="1:7" ht="35" customHeight="1" x14ac:dyDescent="0.25">
      <c r="A65" s="62" t="s">
        <v>144</v>
      </c>
      <c r="B65" s="69" t="s">
        <v>140</v>
      </c>
      <c r="C65" s="74">
        <v>5</v>
      </c>
      <c r="D65" s="34">
        <v>5</v>
      </c>
      <c r="E65" s="34">
        <v>5</v>
      </c>
      <c r="F65" s="34">
        <v>5</v>
      </c>
      <c r="G65" s="75">
        <v>5</v>
      </c>
    </row>
    <row r="66" spans="1:7" ht="14.95" customHeight="1" x14ac:dyDescent="0.25">
      <c r="A66" s="62" t="s">
        <v>12</v>
      </c>
      <c r="B66" s="62"/>
      <c r="C66" s="74"/>
      <c r="D66" s="34"/>
      <c r="E66" s="34"/>
      <c r="F66" s="34"/>
      <c r="G66" s="75"/>
    </row>
    <row r="67" spans="1:7" ht="47.4" customHeight="1" x14ac:dyDescent="0.25">
      <c r="A67" s="62" t="s">
        <v>211</v>
      </c>
      <c r="B67" s="69" t="s">
        <v>140</v>
      </c>
      <c r="C67" s="74">
        <v>5</v>
      </c>
      <c r="D67" s="34">
        <v>5</v>
      </c>
      <c r="E67" s="34">
        <v>5</v>
      </c>
      <c r="F67" s="34">
        <v>5</v>
      </c>
      <c r="G67" s="75">
        <v>5</v>
      </c>
    </row>
    <row r="68" spans="1:7" ht="14.95" customHeight="1" x14ac:dyDescent="0.25">
      <c r="A68" s="62" t="s">
        <v>145</v>
      </c>
      <c r="B68" s="62"/>
      <c r="C68" s="74"/>
      <c r="D68" s="34"/>
      <c r="E68" s="34"/>
      <c r="F68" s="34"/>
      <c r="G68" s="75"/>
    </row>
    <row r="69" spans="1:7" ht="56.4" customHeight="1" x14ac:dyDescent="0.25">
      <c r="A69" s="79" t="s">
        <v>146</v>
      </c>
      <c r="B69" s="69" t="s">
        <v>147</v>
      </c>
      <c r="C69" s="74">
        <v>1</v>
      </c>
      <c r="D69" s="34">
        <v>1</v>
      </c>
      <c r="E69" s="34"/>
      <c r="F69" s="34"/>
      <c r="G69" s="75"/>
    </row>
    <row r="70" spans="1:7" ht="47.4" customHeight="1" thickBot="1" x14ac:dyDescent="0.3">
      <c r="A70" s="65" t="s">
        <v>148</v>
      </c>
      <c r="B70" s="70" t="s">
        <v>149</v>
      </c>
      <c r="C70" s="80">
        <v>1</v>
      </c>
      <c r="D70" s="81">
        <v>1</v>
      </c>
      <c r="E70" s="81"/>
      <c r="F70" s="81"/>
      <c r="G70" s="82"/>
    </row>
  </sheetData>
  <mergeCells count="3">
    <mergeCell ref="A1:G1"/>
    <mergeCell ref="A2:G2"/>
    <mergeCell ref="A3:G3"/>
  </mergeCells>
  <pageMargins left="0.7" right="0.7" top="0.75" bottom="0.75" header="0.3" footer="0.3"/>
  <pageSetup paperSize="9" scale="7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96"/>
  <sheetViews>
    <sheetView view="pageBreakPreview" topLeftCell="C178" zoomScale="80" zoomScaleNormal="80" zoomScaleSheetLayoutView="80" workbookViewId="0">
      <selection activeCell="H168" sqref="H168"/>
    </sheetView>
  </sheetViews>
  <sheetFormatPr defaultRowHeight="14.3" x14ac:dyDescent="0.25"/>
  <cols>
    <col min="2" max="2" width="7.875" customWidth="1"/>
    <col min="3" max="3" width="47.75" customWidth="1"/>
    <col min="4" max="4" width="18.375" customWidth="1"/>
    <col min="5" max="5" width="19.875" customWidth="1"/>
    <col min="6" max="6" width="15.875" customWidth="1"/>
    <col min="7" max="7" width="17.125" customWidth="1"/>
    <col min="8" max="8" width="14.375" customWidth="1"/>
    <col min="10" max="10" width="15.875" customWidth="1"/>
    <col min="12" max="12" width="13.625" customWidth="1"/>
    <col min="13" max="13" width="14.75" customWidth="1"/>
    <col min="14" max="14" width="23" customWidth="1"/>
    <col min="15" max="15" width="15" customWidth="1"/>
    <col min="16" max="16" width="16.375" customWidth="1"/>
    <col min="17" max="17" width="24.125" customWidth="1"/>
    <col min="18" max="18" width="25.125" customWidth="1"/>
  </cols>
  <sheetData>
    <row r="2" spans="2:17" x14ac:dyDescent="0.25">
      <c r="B2" s="329" t="s">
        <v>225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154"/>
      <c r="P2" s="154"/>
    </row>
    <row r="3" spans="2:17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7" x14ac:dyDescent="0.25">
      <c r="B4" s="329" t="s">
        <v>226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10"/>
      <c r="O4" s="10"/>
      <c r="P4" s="10"/>
    </row>
    <row r="5" spans="2:17" x14ac:dyDescent="0.25">
      <c r="B5" s="328" t="s">
        <v>373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10"/>
      <c r="O5" s="10"/>
      <c r="P5" s="10"/>
    </row>
    <row r="6" spans="2:17" x14ac:dyDescent="0.25">
      <c r="B6" s="328" t="s">
        <v>372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10"/>
      <c r="O6" s="10"/>
      <c r="P6" s="10"/>
    </row>
    <row r="7" spans="2:17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17" x14ac:dyDescent="0.25">
      <c r="B8" s="202"/>
      <c r="C8" s="202"/>
      <c r="D8" s="202"/>
      <c r="E8" s="329" t="s">
        <v>227</v>
      </c>
      <c r="F8" s="329"/>
      <c r="G8" s="329"/>
      <c r="H8" s="329"/>
      <c r="I8" s="329"/>
      <c r="J8" s="329"/>
      <c r="K8" s="329"/>
      <c r="L8" s="329"/>
      <c r="M8" s="202"/>
      <c r="N8" s="10"/>
      <c r="O8" s="10"/>
      <c r="P8" s="10"/>
    </row>
    <row r="9" spans="2:17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2:17" x14ac:dyDescent="0.25">
      <c r="B10" s="307" t="s">
        <v>228</v>
      </c>
      <c r="C10" s="307" t="s">
        <v>229</v>
      </c>
      <c r="D10" s="307" t="s">
        <v>230</v>
      </c>
      <c r="E10" s="307" t="s">
        <v>231</v>
      </c>
      <c r="F10" s="307"/>
      <c r="G10" s="307"/>
      <c r="H10" s="307"/>
      <c r="I10" s="307"/>
      <c r="J10" s="307"/>
      <c r="K10" s="307"/>
      <c r="L10" s="307" t="s">
        <v>232</v>
      </c>
      <c r="M10" s="307" t="s">
        <v>233</v>
      </c>
      <c r="N10" s="307" t="s">
        <v>234</v>
      </c>
      <c r="O10" s="307" t="s">
        <v>235</v>
      </c>
      <c r="P10" s="307" t="s">
        <v>236</v>
      </c>
    </row>
    <row r="11" spans="2:17" x14ac:dyDescent="0.25">
      <c r="B11" s="307"/>
      <c r="C11" s="307"/>
      <c r="D11" s="307"/>
      <c r="E11" s="353" t="s">
        <v>55</v>
      </c>
      <c r="F11" s="354" t="s">
        <v>12</v>
      </c>
      <c r="G11" s="355"/>
      <c r="H11" s="355"/>
      <c r="I11" s="355"/>
      <c r="J11" s="355"/>
      <c r="K11" s="356"/>
      <c r="L11" s="307"/>
      <c r="M11" s="307"/>
      <c r="N11" s="307"/>
      <c r="O11" s="307"/>
      <c r="P11" s="307"/>
    </row>
    <row r="12" spans="2:17" ht="59.3" customHeight="1" x14ac:dyDescent="0.25">
      <c r="B12" s="307"/>
      <c r="C12" s="307"/>
      <c r="D12" s="307"/>
      <c r="E12" s="353"/>
      <c r="F12" s="307" t="s">
        <v>237</v>
      </c>
      <c r="G12" s="307"/>
      <c r="H12" s="307" t="s">
        <v>238</v>
      </c>
      <c r="I12" s="307"/>
      <c r="J12" s="307" t="s">
        <v>239</v>
      </c>
      <c r="K12" s="307"/>
      <c r="L12" s="307"/>
      <c r="M12" s="307"/>
      <c r="N12" s="307"/>
      <c r="O12" s="307"/>
      <c r="P12" s="307"/>
    </row>
    <row r="13" spans="2:17" x14ac:dyDescent="0.25">
      <c r="B13" s="155">
        <v>1</v>
      </c>
      <c r="C13" s="155">
        <v>2</v>
      </c>
      <c r="D13" s="155">
        <v>3</v>
      </c>
      <c r="E13" s="155">
        <v>4</v>
      </c>
      <c r="F13" s="308">
        <v>5</v>
      </c>
      <c r="G13" s="310"/>
      <c r="H13" s="308">
        <v>6</v>
      </c>
      <c r="I13" s="310"/>
      <c r="J13" s="308">
        <v>7</v>
      </c>
      <c r="K13" s="310"/>
      <c r="L13" s="155">
        <v>8</v>
      </c>
      <c r="M13" s="155">
        <v>9</v>
      </c>
      <c r="N13" s="155">
        <v>10</v>
      </c>
      <c r="O13" s="155">
        <v>11</v>
      </c>
      <c r="P13" s="155">
        <v>12</v>
      </c>
      <c r="Q13" s="130"/>
    </row>
    <row r="14" spans="2:17" x14ac:dyDescent="0.25">
      <c r="B14" s="155">
        <v>1</v>
      </c>
      <c r="C14" s="156" t="s">
        <v>207</v>
      </c>
      <c r="D14" s="156">
        <v>1</v>
      </c>
      <c r="E14" s="157">
        <f>F14+H14+J14</f>
        <v>27771.120000000003</v>
      </c>
      <c r="F14" s="345">
        <f>14040+2106</f>
        <v>16146</v>
      </c>
      <c r="G14" s="346"/>
      <c r="H14" s="351"/>
      <c r="I14" s="351"/>
      <c r="J14" s="345">
        <v>11625.12</v>
      </c>
      <c r="K14" s="346"/>
      <c r="L14" s="157"/>
      <c r="M14" s="157">
        <v>2.2999999999999998</v>
      </c>
      <c r="N14" s="157">
        <f>(D14*E14*(1+L14/100)*M14*12)</f>
        <v>766482.91200000001</v>
      </c>
      <c r="O14" s="157">
        <f>F14*2.3</f>
        <v>37135.799999999996</v>
      </c>
      <c r="P14" s="157">
        <f>N14+O14</f>
        <v>803618.71200000006</v>
      </c>
      <c r="Q14" s="161"/>
    </row>
    <row r="15" spans="2:17" x14ac:dyDescent="0.25">
      <c r="B15" s="155">
        <f>B14+1</f>
        <v>2</v>
      </c>
      <c r="C15" s="156" t="s">
        <v>240</v>
      </c>
      <c r="D15" s="156">
        <v>1</v>
      </c>
      <c r="E15" s="157">
        <f t="shared" ref="E15:E49" si="0">F15+H15+J15</f>
        <v>25247.040000000001</v>
      </c>
      <c r="F15" s="345">
        <v>10608</v>
      </c>
      <c r="G15" s="346"/>
      <c r="H15" s="351"/>
      <c r="I15" s="351"/>
      <c r="J15" s="345">
        <v>14639.04</v>
      </c>
      <c r="K15" s="346"/>
      <c r="L15" s="157"/>
      <c r="M15" s="157">
        <v>2.2999999999999998</v>
      </c>
      <c r="N15" s="157">
        <f t="shared" ref="N15:N49" si="1">(D15*E15*(1+L15/100)*M15*12)</f>
        <v>696818.304</v>
      </c>
      <c r="O15" s="157">
        <f>F15*2.3</f>
        <v>24398.399999999998</v>
      </c>
      <c r="P15" s="157">
        <f t="shared" ref="P15:P49" si="2">N15+O15</f>
        <v>721216.70400000003</v>
      </c>
      <c r="Q15" s="161"/>
    </row>
    <row r="16" spans="2:17" x14ac:dyDescent="0.25">
      <c r="B16" s="155">
        <f t="shared" ref="B16:B49" si="3">B15+1</f>
        <v>3</v>
      </c>
      <c r="C16" s="156" t="s">
        <v>241</v>
      </c>
      <c r="D16" s="156">
        <v>1</v>
      </c>
      <c r="E16" s="157">
        <f t="shared" si="0"/>
        <v>17472</v>
      </c>
      <c r="F16" s="345">
        <v>10920</v>
      </c>
      <c r="G16" s="346"/>
      <c r="H16" s="351"/>
      <c r="I16" s="351"/>
      <c r="J16" s="345">
        <v>6552</v>
      </c>
      <c r="K16" s="346"/>
      <c r="L16" s="157"/>
      <c r="M16" s="157">
        <v>2.2999999999999998</v>
      </c>
      <c r="N16" s="157">
        <f t="shared" si="1"/>
        <v>482227.19999999995</v>
      </c>
      <c r="O16" s="157">
        <f>F16*2.3</f>
        <v>25115.999999999996</v>
      </c>
      <c r="P16" s="157">
        <f t="shared" si="2"/>
        <v>507343.19999999995</v>
      </c>
      <c r="Q16" s="161"/>
    </row>
    <row r="17" spans="2:17" x14ac:dyDescent="0.25">
      <c r="B17" s="155">
        <f t="shared" si="3"/>
        <v>4</v>
      </c>
      <c r="C17" s="159" t="s">
        <v>242</v>
      </c>
      <c r="D17" s="159">
        <v>2</v>
      </c>
      <c r="E17" s="160">
        <f t="shared" si="0"/>
        <v>15622</v>
      </c>
      <c r="F17" s="349">
        <v>7300</v>
      </c>
      <c r="G17" s="350"/>
      <c r="H17" s="352"/>
      <c r="I17" s="352"/>
      <c r="J17" s="349">
        <v>8322</v>
      </c>
      <c r="K17" s="350"/>
      <c r="L17" s="160"/>
      <c r="M17" s="160">
        <v>2.2999999999999998</v>
      </c>
      <c r="N17" s="160">
        <f>(D17*E17*(1+L17/100)*M17*12)</f>
        <v>862334.39999999991</v>
      </c>
      <c r="O17" s="160">
        <f>F17*D17</f>
        <v>14600</v>
      </c>
      <c r="P17" s="160">
        <f>N17+O17</f>
        <v>876934.39999999991</v>
      </c>
      <c r="Q17" s="161"/>
    </row>
    <row r="18" spans="2:17" x14ac:dyDescent="0.25">
      <c r="B18" s="155">
        <f t="shared" si="3"/>
        <v>5</v>
      </c>
      <c r="C18" s="159" t="s">
        <v>243</v>
      </c>
      <c r="D18" s="159">
        <v>6</v>
      </c>
      <c r="E18" s="160">
        <f t="shared" si="0"/>
        <v>16185.79</v>
      </c>
      <c r="F18" s="349">
        <f>7100+1065+1420</f>
        <v>9585</v>
      </c>
      <c r="G18" s="350"/>
      <c r="H18" s="314"/>
      <c r="I18" s="316"/>
      <c r="J18" s="349">
        <f>6517.02+83.77</f>
        <v>6600.7900000000009</v>
      </c>
      <c r="K18" s="350"/>
      <c r="L18" s="160"/>
      <c r="M18" s="160">
        <v>2.2999999999999998</v>
      </c>
      <c r="N18" s="160">
        <f t="shared" ref="N18:N19" si="4">(D18*E18*(1+L18/100)*M18*12)</f>
        <v>2680366.824</v>
      </c>
      <c r="O18" s="160">
        <f t="shared" ref="O18:O19" si="5">F18*D18</f>
        <v>57510</v>
      </c>
      <c r="P18" s="160">
        <f t="shared" ref="P18:P19" si="6">N18+O18</f>
        <v>2737876.824</v>
      </c>
      <c r="Q18" s="161"/>
    </row>
    <row r="19" spans="2:17" x14ac:dyDescent="0.25">
      <c r="B19" s="155">
        <f t="shared" si="3"/>
        <v>6</v>
      </c>
      <c r="C19" s="159" t="s">
        <v>243</v>
      </c>
      <c r="D19" s="159">
        <v>24</v>
      </c>
      <c r="E19" s="160">
        <f t="shared" si="0"/>
        <v>14482.560000000001</v>
      </c>
      <c r="F19" s="349">
        <f>7100+710+1420</f>
        <v>9230</v>
      </c>
      <c r="G19" s="350"/>
      <c r="H19" s="314"/>
      <c r="I19" s="316"/>
      <c r="J19" s="349">
        <f>5168.8+83.76</f>
        <v>5252.56</v>
      </c>
      <c r="K19" s="350"/>
      <c r="L19" s="160"/>
      <c r="M19" s="160">
        <v>2.2999999999999998</v>
      </c>
      <c r="N19" s="160">
        <f t="shared" si="4"/>
        <v>9593247.7440000009</v>
      </c>
      <c r="O19" s="160">
        <f t="shared" si="5"/>
        <v>221520</v>
      </c>
      <c r="P19" s="160">
        <f t="shared" si="6"/>
        <v>9814767.7440000009</v>
      </c>
      <c r="Q19" s="161"/>
    </row>
    <row r="20" spans="2:17" x14ac:dyDescent="0.25">
      <c r="B20" s="155">
        <f t="shared" si="3"/>
        <v>7</v>
      </c>
      <c r="C20" s="159" t="s">
        <v>243</v>
      </c>
      <c r="D20" s="159">
        <v>16.75</v>
      </c>
      <c r="E20" s="160">
        <f t="shared" si="0"/>
        <v>12964.470000000001</v>
      </c>
      <c r="F20" s="349">
        <f>7100+1420</f>
        <v>8520</v>
      </c>
      <c r="G20" s="350"/>
      <c r="H20" s="352"/>
      <c r="I20" s="352"/>
      <c r="J20" s="349">
        <f>4360.7+83.77</f>
        <v>4444.47</v>
      </c>
      <c r="K20" s="350"/>
      <c r="L20" s="160"/>
      <c r="M20" s="160">
        <v>2.2999999999999998</v>
      </c>
      <c r="N20" s="160">
        <f t="shared" si="1"/>
        <v>5993474.4810000006</v>
      </c>
      <c r="O20" s="160">
        <f>F20*D20</f>
        <v>142710</v>
      </c>
      <c r="P20" s="160">
        <f t="shared" si="2"/>
        <v>6136184.4810000006</v>
      </c>
      <c r="Q20" s="161"/>
    </row>
    <row r="21" spans="2:17" x14ac:dyDescent="0.25">
      <c r="B21" s="155">
        <f t="shared" si="3"/>
        <v>8</v>
      </c>
      <c r="C21" s="159" t="s">
        <v>244</v>
      </c>
      <c r="D21" s="159">
        <v>1</v>
      </c>
      <c r="E21" s="160">
        <f t="shared" si="0"/>
        <v>16753.5</v>
      </c>
      <c r="F21" s="349">
        <f>7300+1095+1460</f>
        <v>9855</v>
      </c>
      <c r="G21" s="350"/>
      <c r="H21" s="352"/>
      <c r="I21" s="352"/>
      <c r="J21" s="349">
        <v>6898.5</v>
      </c>
      <c r="K21" s="350"/>
      <c r="L21" s="160"/>
      <c r="M21" s="160">
        <v>2.2999999999999998</v>
      </c>
      <c r="N21" s="160">
        <f t="shared" si="1"/>
        <v>462396.6</v>
      </c>
      <c r="O21" s="160">
        <f>F21*D21</f>
        <v>9855</v>
      </c>
      <c r="P21" s="160">
        <f t="shared" si="2"/>
        <v>472251.6</v>
      </c>
      <c r="Q21" s="161"/>
    </row>
    <row r="22" spans="2:17" x14ac:dyDescent="0.25">
      <c r="B22" s="155">
        <f t="shared" si="3"/>
        <v>9</v>
      </c>
      <c r="C22" s="243" t="s">
        <v>244</v>
      </c>
      <c r="D22" s="159">
        <v>1</v>
      </c>
      <c r="E22" s="160">
        <f t="shared" si="0"/>
        <v>17082</v>
      </c>
      <c r="F22" s="349">
        <f>7300+730+1460</f>
        <v>9490</v>
      </c>
      <c r="G22" s="350"/>
      <c r="H22" s="314"/>
      <c r="I22" s="316"/>
      <c r="J22" s="349">
        <v>7592</v>
      </c>
      <c r="K22" s="350"/>
      <c r="L22" s="160"/>
      <c r="M22" s="160">
        <v>2.2999999999999998</v>
      </c>
      <c r="N22" s="160">
        <f t="shared" si="1"/>
        <v>471463.19999999995</v>
      </c>
      <c r="O22" s="160">
        <f t="shared" ref="O22:O23" si="7">F22*D22</f>
        <v>9490</v>
      </c>
      <c r="P22" s="160">
        <f t="shared" si="2"/>
        <v>480953.19999999995</v>
      </c>
      <c r="Q22" s="161"/>
    </row>
    <row r="23" spans="2:17" x14ac:dyDescent="0.25">
      <c r="B23" s="155">
        <f t="shared" si="3"/>
        <v>10</v>
      </c>
      <c r="C23" s="243" t="s">
        <v>244</v>
      </c>
      <c r="D23" s="159">
        <v>1</v>
      </c>
      <c r="E23" s="160">
        <f t="shared" si="0"/>
        <v>13067</v>
      </c>
      <c r="F23" s="349">
        <f>7300</f>
        <v>7300</v>
      </c>
      <c r="G23" s="350"/>
      <c r="H23" s="314"/>
      <c r="I23" s="316"/>
      <c r="J23" s="349">
        <v>5767</v>
      </c>
      <c r="K23" s="350"/>
      <c r="L23" s="160"/>
      <c r="M23" s="160">
        <v>2.2999999999999998</v>
      </c>
      <c r="N23" s="160">
        <f t="shared" si="1"/>
        <v>360649.19999999995</v>
      </c>
      <c r="O23" s="160">
        <f t="shared" si="7"/>
        <v>7300</v>
      </c>
      <c r="P23" s="160">
        <f t="shared" si="2"/>
        <v>367949.19999999995</v>
      </c>
      <c r="Q23" s="161"/>
    </row>
    <row r="24" spans="2:17" x14ac:dyDescent="0.25">
      <c r="B24" s="155">
        <f t="shared" si="3"/>
        <v>11</v>
      </c>
      <c r="C24" s="159" t="s">
        <v>245</v>
      </c>
      <c r="D24" s="159">
        <v>1</v>
      </c>
      <c r="E24" s="160">
        <f>F24+H24+J24</f>
        <v>15184</v>
      </c>
      <c r="F24" s="349">
        <f>7300+730+1460</f>
        <v>9490</v>
      </c>
      <c r="G24" s="350"/>
      <c r="H24" s="352"/>
      <c r="I24" s="352"/>
      <c r="J24" s="349">
        <v>5694</v>
      </c>
      <c r="K24" s="350"/>
      <c r="L24" s="160"/>
      <c r="M24" s="160">
        <v>2.2999999999999998</v>
      </c>
      <c r="N24" s="160">
        <f t="shared" si="1"/>
        <v>419078.39999999997</v>
      </c>
      <c r="O24" s="160">
        <f t="shared" ref="O24:O32" si="8">F24*D24</f>
        <v>9490</v>
      </c>
      <c r="P24" s="160">
        <f t="shared" si="2"/>
        <v>428568.39999999997</v>
      </c>
      <c r="Q24" s="161"/>
    </row>
    <row r="25" spans="2:17" x14ac:dyDescent="0.25">
      <c r="B25" s="155">
        <f t="shared" si="3"/>
        <v>12</v>
      </c>
      <c r="C25" s="243" t="s">
        <v>245</v>
      </c>
      <c r="D25" s="159">
        <v>1</v>
      </c>
      <c r="E25" s="160">
        <f>F25+H25+J25</f>
        <v>14892</v>
      </c>
      <c r="F25" s="349">
        <f>7300+1460+1752</f>
        <v>10512</v>
      </c>
      <c r="G25" s="350"/>
      <c r="H25" s="352"/>
      <c r="I25" s="352"/>
      <c r="J25" s="349">
        <v>4380</v>
      </c>
      <c r="K25" s="350"/>
      <c r="L25" s="160"/>
      <c r="M25" s="160">
        <v>2.2999999999999998</v>
      </c>
      <c r="N25" s="160">
        <f t="shared" si="1"/>
        <v>411019.19999999995</v>
      </c>
      <c r="O25" s="160">
        <f t="shared" si="8"/>
        <v>10512</v>
      </c>
      <c r="P25" s="160">
        <f t="shared" si="2"/>
        <v>421531.19999999995</v>
      </c>
      <c r="Q25" s="161"/>
    </row>
    <row r="26" spans="2:17" x14ac:dyDescent="0.25">
      <c r="B26" s="155">
        <f t="shared" si="3"/>
        <v>13</v>
      </c>
      <c r="C26" s="159" t="s">
        <v>246</v>
      </c>
      <c r="D26" s="159">
        <v>1</v>
      </c>
      <c r="E26" s="160">
        <f t="shared" si="0"/>
        <v>16294.5</v>
      </c>
      <c r="F26" s="349">
        <f>7100+1065+1420</f>
        <v>9585</v>
      </c>
      <c r="G26" s="350"/>
      <c r="H26" s="352"/>
      <c r="I26" s="352"/>
      <c r="J26" s="349">
        <v>6709.5</v>
      </c>
      <c r="K26" s="350"/>
      <c r="L26" s="160"/>
      <c r="M26" s="160">
        <v>2.2999999999999998</v>
      </c>
      <c r="N26" s="160">
        <f t="shared" si="1"/>
        <v>449728.19999999995</v>
      </c>
      <c r="O26" s="160">
        <f t="shared" si="8"/>
        <v>9585</v>
      </c>
      <c r="P26" s="160">
        <f t="shared" si="2"/>
        <v>459313.19999999995</v>
      </c>
      <c r="Q26" s="161"/>
    </row>
    <row r="27" spans="2:17" x14ac:dyDescent="0.25">
      <c r="B27" s="155">
        <f t="shared" si="3"/>
        <v>14</v>
      </c>
      <c r="C27" s="243" t="s">
        <v>246</v>
      </c>
      <c r="D27" s="159">
        <v>1</v>
      </c>
      <c r="E27" s="160">
        <f t="shared" si="0"/>
        <v>14768</v>
      </c>
      <c r="F27" s="349">
        <f>7100+710+1420</f>
        <v>9230</v>
      </c>
      <c r="G27" s="350"/>
      <c r="H27" s="352"/>
      <c r="I27" s="352"/>
      <c r="J27" s="349">
        <v>5538</v>
      </c>
      <c r="K27" s="350"/>
      <c r="L27" s="160"/>
      <c r="M27" s="160">
        <v>2.2999999999999998</v>
      </c>
      <c r="N27" s="160">
        <f t="shared" si="1"/>
        <v>407596.79999999993</v>
      </c>
      <c r="O27" s="160">
        <f t="shared" si="8"/>
        <v>9230</v>
      </c>
      <c r="P27" s="160">
        <f t="shared" si="2"/>
        <v>416826.79999999993</v>
      </c>
      <c r="Q27" s="161"/>
    </row>
    <row r="28" spans="2:17" x14ac:dyDescent="0.25">
      <c r="B28" s="155">
        <f t="shared" si="3"/>
        <v>15</v>
      </c>
      <c r="C28" s="159" t="s">
        <v>247</v>
      </c>
      <c r="D28" s="159">
        <v>2</v>
      </c>
      <c r="E28" s="160">
        <f t="shared" si="0"/>
        <v>14928.1</v>
      </c>
      <c r="F28" s="349">
        <f>6620+662</f>
        <v>7282</v>
      </c>
      <c r="G28" s="350"/>
      <c r="H28" s="352"/>
      <c r="I28" s="352"/>
      <c r="J28" s="349">
        <v>7646.1</v>
      </c>
      <c r="K28" s="350"/>
      <c r="L28" s="160"/>
      <c r="M28" s="160">
        <v>2.2999999999999998</v>
      </c>
      <c r="N28" s="160">
        <f t="shared" si="1"/>
        <v>824031.11999999988</v>
      </c>
      <c r="O28" s="160">
        <f t="shared" si="8"/>
        <v>14564</v>
      </c>
      <c r="P28" s="160">
        <f t="shared" si="2"/>
        <v>838595.11999999988</v>
      </c>
      <c r="Q28" s="161"/>
    </row>
    <row r="29" spans="2:17" x14ac:dyDescent="0.25">
      <c r="B29" s="155">
        <f t="shared" si="3"/>
        <v>16</v>
      </c>
      <c r="C29" s="243" t="s">
        <v>247</v>
      </c>
      <c r="D29" s="159">
        <v>2</v>
      </c>
      <c r="E29" s="160">
        <f t="shared" si="0"/>
        <v>12909</v>
      </c>
      <c r="F29" s="349">
        <v>6620</v>
      </c>
      <c r="G29" s="350"/>
      <c r="H29" s="352"/>
      <c r="I29" s="352"/>
      <c r="J29" s="349">
        <v>6289</v>
      </c>
      <c r="K29" s="350"/>
      <c r="L29" s="160"/>
      <c r="M29" s="160">
        <v>2.2999999999999998</v>
      </c>
      <c r="N29" s="160">
        <f t="shared" si="1"/>
        <v>712576.79999999993</v>
      </c>
      <c r="O29" s="160">
        <f t="shared" si="8"/>
        <v>13240</v>
      </c>
      <c r="P29" s="160">
        <f t="shared" si="2"/>
        <v>725816.79999999993</v>
      </c>
      <c r="Q29" s="161"/>
    </row>
    <row r="30" spans="2:17" x14ac:dyDescent="0.25">
      <c r="B30" s="155">
        <f t="shared" si="3"/>
        <v>17</v>
      </c>
      <c r="C30" s="159" t="s">
        <v>248</v>
      </c>
      <c r="D30" s="159">
        <v>1</v>
      </c>
      <c r="E30" s="160">
        <f t="shared" si="0"/>
        <v>12578</v>
      </c>
      <c r="F30" s="349">
        <v>6620</v>
      </c>
      <c r="G30" s="350"/>
      <c r="H30" s="352"/>
      <c r="I30" s="352"/>
      <c r="J30" s="349">
        <v>5958</v>
      </c>
      <c r="K30" s="350"/>
      <c r="L30" s="160"/>
      <c r="M30" s="160">
        <v>2.2999999999999998</v>
      </c>
      <c r="N30" s="160">
        <f t="shared" si="1"/>
        <v>347152.8</v>
      </c>
      <c r="O30" s="160">
        <f t="shared" si="8"/>
        <v>6620</v>
      </c>
      <c r="P30" s="160">
        <f t="shared" si="2"/>
        <v>353772.79999999999</v>
      </c>
      <c r="Q30" s="161"/>
    </row>
    <row r="31" spans="2:17" x14ac:dyDescent="0.25">
      <c r="B31" s="155">
        <f t="shared" si="3"/>
        <v>18</v>
      </c>
      <c r="C31" s="159" t="s">
        <v>249</v>
      </c>
      <c r="D31" s="159">
        <v>2</v>
      </c>
      <c r="E31" s="160">
        <f>F31+H31+J31</f>
        <v>13835.8</v>
      </c>
      <c r="F31" s="349">
        <f>6620+662</f>
        <v>7282</v>
      </c>
      <c r="G31" s="350"/>
      <c r="H31" s="352"/>
      <c r="I31" s="352"/>
      <c r="J31" s="349">
        <v>6553.8</v>
      </c>
      <c r="K31" s="350"/>
      <c r="L31" s="160"/>
      <c r="M31" s="160">
        <v>2.2999999999999998</v>
      </c>
      <c r="N31" s="160">
        <f t="shared" si="1"/>
        <v>763736.15999999992</v>
      </c>
      <c r="O31" s="160">
        <f t="shared" si="8"/>
        <v>14564</v>
      </c>
      <c r="P31" s="160">
        <f t="shared" si="2"/>
        <v>778300.15999999992</v>
      </c>
      <c r="Q31" s="161"/>
    </row>
    <row r="32" spans="2:17" ht="14.95" customHeight="1" x14ac:dyDescent="0.25">
      <c r="B32" s="155">
        <f t="shared" si="3"/>
        <v>19</v>
      </c>
      <c r="C32" s="212" t="s">
        <v>250</v>
      </c>
      <c r="D32" s="159">
        <v>1</v>
      </c>
      <c r="E32" s="160">
        <f t="shared" si="0"/>
        <v>13835.8</v>
      </c>
      <c r="F32" s="349">
        <f>6620+662</f>
        <v>7282</v>
      </c>
      <c r="G32" s="350"/>
      <c r="H32" s="352"/>
      <c r="I32" s="352"/>
      <c r="J32" s="349">
        <v>6553.8</v>
      </c>
      <c r="K32" s="350"/>
      <c r="L32" s="160"/>
      <c r="M32" s="160">
        <v>2.2999999999999998</v>
      </c>
      <c r="N32" s="160">
        <f t="shared" si="1"/>
        <v>381868.07999999996</v>
      </c>
      <c r="O32" s="160">
        <f t="shared" si="8"/>
        <v>7282</v>
      </c>
      <c r="P32" s="160">
        <f t="shared" si="2"/>
        <v>389150.07999999996</v>
      </c>
      <c r="Q32" s="161"/>
    </row>
    <row r="33" spans="2:17" x14ac:dyDescent="0.25">
      <c r="B33" s="155">
        <f t="shared" si="3"/>
        <v>20</v>
      </c>
      <c r="C33" s="156" t="s">
        <v>251</v>
      </c>
      <c r="D33" s="158">
        <v>26.5</v>
      </c>
      <c r="E33" s="157">
        <f t="shared" si="0"/>
        <v>11163</v>
      </c>
      <c r="F33" s="345">
        <v>4056</v>
      </c>
      <c r="G33" s="346"/>
      <c r="H33" s="351"/>
      <c r="I33" s="351"/>
      <c r="J33" s="349">
        <v>7107</v>
      </c>
      <c r="K33" s="350"/>
      <c r="L33" s="160"/>
      <c r="M33" s="160">
        <v>2.2999999999999998</v>
      </c>
      <c r="N33" s="160">
        <f t="shared" si="1"/>
        <v>8164618.1999999993</v>
      </c>
      <c r="O33" s="160"/>
      <c r="P33" s="160">
        <f t="shared" si="2"/>
        <v>8164618.1999999993</v>
      </c>
      <c r="Q33" s="161"/>
    </row>
    <row r="34" spans="2:17" x14ac:dyDescent="0.25">
      <c r="B34" s="155">
        <f t="shared" si="3"/>
        <v>21</v>
      </c>
      <c r="C34" s="159" t="s">
        <v>252</v>
      </c>
      <c r="D34" s="159">
        <v>1</v>
      </c>
      <c r="E34" s="160">
        <f t="shared" si="0"/>
        <v>15120</v>
      </c>
      <c r="F34" s="349">
        <v>5600</v>
      </c>
      <c r="G34" s="350"/>
      <c r="H34" s="352"/>
      <c r="I34" s="352"/>
      <c r="J34" s="349">
        <v>9520</v>
      </c>
      <c r="K34" s="350"/>
      <c r="L34" s="160"/>
      <c r="M34" s="160">
        <v>2.2999999999999998</v>
      </c>
      <c r="N34" s="160">
        <f t="shared" si="1"/>
        <v>417312</v>
      </c>
      <c r="O34" s="160">
        <f>F34*D34</f>
        <v>5600</v>
      </c>
      <c r="P34" s="160">
        <f t="shared" si="2"/>
        <v>422912</v>
      </c>
      <c r="Q34" s="161"/>
    </row>
    <row r="35" spans="2:17" x14ac:dyDescent="0.25">
      <c r="B35" s="155">
        <f t="shared" si="3"/>
        <v>22</v>
      </c>
      <c r="C35" s="159" t="s">
        <v>253</v>
      </c>
      <c r="D35" s="159">
        <v>3</v>
      </c>
      <c r="E35" s="160">
        <f t="shared" si="0"/>
        <v>13537.5</v>
      </c>
      <c r="F35" s="349">
        <v>4750</v>
      </c>
      <c r="G35" s="350"/>
      <c r="H35" s="352"/>
      <c r="I35" s="352"/>
      <c r="J35" s="349">
        <v>8787.5</v>
      </c>
      <c r="K35" s="350"/>
      <c r="L35" s="160"/>
      <c r="M35" s="160">
        <v>2.2999999999999998</v>
      </c>
      <c r="N35" s="160">
        <f t="shared" si="1"/>
        <v>1120905</v>
      </c>
      <c r="O35" s="160">
        <f>F35*D35</f>
        <v>14250</v>
      </c>
      <c r="P35" s="160">
        <f t="shared" si="2"/>
        <v>1135155</v>
      </c>
      <c r="Q35" s="161"/>
    </row>
    <row r="36" spans="2:17" x14ac:dyDescent="0.25">
      <c r="B36" s="155">
        <f t="shared" si="3"/>
        <v>23</v>
      </c>
      <c r="C36" s="156" t="s">
        <v>254</v>
      </c>
      <c r="D36" s="156">
        <v>1</v>
      </c>
      <c r="E36" s="157">
        <f t="shared" si="0"/>
        <v>11163</v>
      </c>
      <c r="F36" s="345">
        <v>4202</v>
      </c>
      <c r="G36" s="346"/>
      <c r="H36" s="351"/>
      <c r="I36" s="351"/>
      <c r="J36" s="349">
        <v>6961</v>
      </c>
      <c r="K36" s="350"/>
      <c r="L36" s="160"/>
      <c r="M36" s="160">
        <v>2.2999999999999998</v>
      </c>
      <c r="N36" s="160">
        <f t="shared" si="1"/>
        <v>308098.8</v>
      </c>
      <c r="O36" s="160"/>
      <c r="P36" s="160">
        <f t="shared" si="2"/>
        <v>308098.8</v>
      </c>
      <c r="Q36" s="161"/>
    </row>
    <row r="37" spans="2:17" x14ac:dyDescent="0.25">
      <c r="B37" s="155">
        <f t="shared" si="3"/>
        <v>24</v>
      </c>
      <c r="C37" s="156" t="s">
        <v>255</v>
      </c>
      <c r="D37" s="156">
        <v>1</v>
      </c>
      <c r="E37" s="157">
        <f t="shared" si="0"/>
        <v>13655.2</v>
      </c>
      <c r="F37" s="345">
        <v>5252</v>
      </c>
      <c r="G37" s="346"/>
      <c r="H37" s="347"/>
      <c r="I37" s="348"/>
      <c r="J37" s="349">
        <v>8403.2000000000007</v>
      </c>
      <c r="K37" s="350"/>
      <c r="L37" s="160"/>
      <c r="M37" s="160">
        <v>2.2999999999999998</v>
      </c>
      <c r="N37" s="160">
        <f t="shared" si="1"/>
        <v>376883.52</v>
      </c>
      <c r="O37" s="160"/>
      <c r="P37" s="160">
        <f t="shared" si="2"/>
        <v>376883.52</v>
      </c>
      <c r="Q37" s="161"/>
    </row>
    <row r="38" spans="2:17" x14ac:dyDescent="0.25">
      <c r="B38" s="155">
        <f t="shared" si="3"/>
        <v>25</v>
      </c>
      <c r="C38" s="156" t="s">
        <v>256</v>
      </c>
      <c r="D38" s="156">
        <v>1</v>
      </c>
      <c r="E38" s="157">
        <f t="shared" si="0"/>
        <v>11163.439999999999</v>
      </c>
      <c r="F38" s="345">
        <v>5252</v>
      </c>
      <c r="G38" s="346"/>
      <c r="H38" s="347"/>
      <c r="I38" s="348"/>
      <c r="J38" s="349">
        <v>5911.44</v>
      </c>
      <c r="K38" s="350"/>
      <c r="L38" s="160"/>
      <c r="M38" s="160">
        <v>2.2999999999999998</v>
      </c>
      <c r="N38" s="160">
        <f t="shared" si="1"/>
        <v>308110.94399999996</v>
      </c>
      <c r="O38" s="160"/>
      <c r="P38" s="160">
        <f t="shared" si="2"/>
        <v>308110.94399999996</v>
      </c>
      <c r="Q38" s="161"/>
    </row>
    <row r="39" spans="2:17" x14ac:dyDescent="0.25">
      <c r="B39" s="155">
        <f t="shared" si="3"/>
        <v>26</v>
      </c>
      <c r="C39" s="156" t="s">
        <v>257</v>
      </c>
      <c r="D39" s="156">
        <v>7</v>
      </c>
      <c r="E39" s="157">
        <f t="shared" si="0"/>
        <v>11163.01</v>
      </c>
      <c r="F39" s="345">
        <v>4254</v>
      </c>
      <c r="G39" s="346"/>
      <c r="H39" s="347"/>
      <c r="I39" s="348"/>
      <c r="J39" s="349">
        <v>6909.01</v>
      </c>
      <c r="K39" s="350"/>
      <c r="L39" s="160"/>
      <c r="M39" s="160">
        <v>2.2999999999999998</v>
      </c>
      <c r="N39" s="160">
        <f t="shared" si="1"/>
        <v>2156693.5320000001</v>
      </c>
      <c r="O39" s="160"/>
      <c r="P39" s="160">
        <f t="shared" si="2"/>
        <v>2156693.5320000001</v>
      </c>
      <c r="Q39" s="161"/>
    </row>
    <row r="40" spans="2:17" x14ac:dyDescent="0.25">
      <c r="B40" s="155">
        <f t="shared" si="3"/>
        <v>27</v>
      </c>
      <c r="C40" s="156" t="s">
        <v>258</v>
      </c>
      <c r="D40" s="156">
        <v>4</v>
      </c>
      <c r="E40" s="157">
        <f t="shared" si="0"/>
        <v>11163</v>
      </c>
      <c r="F40" s="345">
        <v>3942</v>
      </c>
      <c r="G40" s="346"/>
      <c r="H40" s="347"/>
      <c r="I40" s="348"/>
      <c r="J40" s="349">
        <v>7221</v>
      </c>
      <c r="K40" s="350"/>
      <c r="L40" s="160"/>
      <c r="M40" s="160">
        <v>2.2999999999999998</v>
      </c>
      <c r="N40" s="160">
        <f t="shared" si="1"/>
        <v>1232395.2</v>
      </c>
      <c r="O40" s="160"/>
      <c r="P40" s="160">
        <f t="shared" si="2"/>
        <v>1232395.2</v>
      </c>
      <c r="Q40" s="161"/>
    </row>
    <row r="41" spans="2:17" x14ac:dyDescent="0.25">
      <c r="B41" s="155">
        <f t="shared" si="3"/>
        <v>28</v>
      </c>
      <c r="C41" s="156" t="s">
        <v>259</v>
      </c>
      <c r="D41" s="156">
        <v>3</v>
      </c>
      <c r="E41" s="157">
        <f t="shared" si="0"/>
        <v>11163</v>
      </c>
      <c r="F41" s="345">
        <v>3942</v>
      </c>
      <c r="G41" s="346"/>
      <c r="H41" s="347"/>
      <c r="I41" s="348"/>
      <c r="J41" s="349">
        <v>7221</v>
      </c>
      <c r="K41" s="350"/>
      <c r="L41" s="160"/>
      <c r="M41" s="160">
        <v>2.2999999999999998</v>
      </c>
      <c r="N41" s="160">
        <f t="shared" si="1"/>
        <v>924296.39999999991</v>
      </c>
      <c r="O41" s="160"/>
      <c r="P41" s="160">
        <f t="shared" si="2"/>
        <v>924296.39999999991</v>
      </c>
      <c r="Q41" s="161"/>
    </row>
    <row r="42" spans="2:17" ht="31.6" customHeight="1" x14ac:dyDescent="0.25">
      <c r="B42" s="155">
        <f t="shared" si="3"/>
        <v>29</v>
      </c>
      <c r="C42" s="162" t="s">
        <v>260</v>
      </c>
      <c r="D42" s="156">
        <v>2</v>
      </c>
      <c r="E42" s="157">
        <f t="shared" si="0"/>
        <v>11163.01</v>
      </c>
      <c r="F42" s="345">
        <v>4254</v>
      </c>
      <c r="G42" s="346"/>
      <c r="H42" s="347"/>
      <c r="I42" s="348"/>
      <c r="J42" s="349">
        <v>6909.01</v>
      </c>
      <c r="K42" s="350"/>
      <c r="L42" s="160"/>
      <c r="M42" s="160">
        <v>2.2999999999999998</v>
      </c>
      <c r="N42" s="160">
        <f t="shared" si="1"/>
        <v>616198.152</v>
      </c>
      <c r="O42" s="160"/>
      <c r="P42" s="160">
        <f t="shared" si="2"/>
        <v>616198.152</v>
      </c>
      <c r="Q42" s="161"/>
    </row>
    <row r="43" spans="2:17" x14ac:dyDescent="0.25">
      <c r="B43" s="155">
        <f t="shared" si="3"/>
        <v>30</v>
      </c>
      <c r="C43" s="156" t="s">
        <v>261</v>
      </c>
      <c r="D43" s="156">
        <v>4</v>
      </c>
      <c r="E43" s="157">
        <f t="shared" si="0"/>
        <v>11163</v>
      </c>
      <c r="F43" s="345">
        <v>3942</v>
      </c>
      <c r="G43" s="346"/>
      <c r="H43" s="347"/>
      <c r="I43" s="348"/>
      <c r="J43" s="349">
        <v>7221</v>
      </c>
      <c r="K43" s="350"/>
      <c r="L43" s="160"/>
      <c r="M43" s="160">
        <v>2.2999999999999998</v>
      </c>
      <c r="N43" s="160">
        <f t="shared" si="1"/>
        <v>1232395.2</v>
      </c>
      <c r="O43" s="160"/>
      <c r="P43" s="160">
        <f t="shared" si="2"/>
        <v>1232395.2</v>
      </c>
      <c r="Q43" s="161"/>
    </row>
    <row r="44" spans="2:17" x14ac:dyDescent="0.25">
      <c r="B44" s="155">
        <f t="shared" si="3"/>
        <v>31</v>
      </c>
      <c r="C44" s="156" t="s">
        <v>262</v>
      </c>
      <c r="D44" s="156">
        <v>2</v>
      </c>
      <c r="E44" s="157">
        <f t="shared" si="0"/>
        <v>11163</v>
      </c>
      <c r="F44" s="345">
        <v>3942</v>
      </c>
      <c r="G44" s="346"/>
      <c r="H44" s="347"/>
      <c r="I44" s="348"/>
      <c r="J44" s="349">
        <v>7221</v>
      </c>
      <c r="K44" s="350"/>
      <c r="L44" s="160"/>
      <c r="M44" s="160">
        <v>2.2999999999999998</v>
      </c>
      <c r="N44" s="160">
        <f t="shared" si="1"/>
        <v>616197.6</v>
      </c>
      <c r="O44" s="160"/>
      <c r="P44" s="160">
        <f t="shared" si="2"/>
        <v>616197.6</v>
      </c>
      <c r="Q44" s="161"/>
    </row>
    <row r="45" spans="2:17" x14ac:dyDescent="0.25">
      <c r="B45" s="155">
        <f t="shared" si="3"/>
        <v>32</v>
      </c>
      <c r="C45" s="156" t="s">
        <v>263</v>
      </c>
      <c r="D45" s="156">
        <v>5.75</v>
      </c>
      <c r="E45" s="157">
        <f t="shared" si="0"/>
        <v>11163</v>
      </c>
      <c r="F45" s="345">
        <v>3942</v>
      </c>
      <c r="G45" s="346"/>
      <c r="H45" s="347"/>
      <c r="I45" s="348"/>
      <c r="J45" s="349">
        <v>7221</v>
      </c>
      <c r="K45" s="350"/>
      <c r="L45" s="160"/>
      <c r="M45" s="160">
        <v>2.2999999999999998</v>
      </c>
      <c r="N45" s="160">
        <f t="shared" si="1"/>
        <v>1771568.0999999999</v>
      </c>
      <c r="O45" s="160"/>
      <c r="P45" s="160">
        <f t="shared" si="2"/>
        <v>1771568.0999999999</v>
      </c>
      <c r="Q45" s="161"/>
    </row>
    <row r="46" spans="2:17" x14ac:dyDescent="0.25">
      <c r="B46" s="155">
        <f t="shared" si="3"/>
        <v>33</v>
      </c>
      <c r="C46" s="156" t="s">
        <v>264</v>
      </c>
      <c r="D46" s="156">
        <v>5</v>
      </c>
      <c r="E46" s="157">
        <f t="shared" si="0"/>
        <v>11163</v>
      </c>
      <c r="F46" s="345">
        <v>3942</v>
      </c>
      <c r="G46" s="346"/>
      <c r="H46" s="347"/>
      <c r="I46" s="348"/>
      <c r="J46" s="349">
        <v>7221</v>
      </c>
      <c r="K46" s="350"/>
      <c r="L46" s="160"/>
      <c r="M46" s="160">
        <v>2.2999999999999998</v>
      </c>
      <c r="N46" s="160">
        <f t="shared" si="1"/>
        <v>1540493.9999999998</v>
      </c>
      <c r="O46" s="160"/>
      <c r="P46" s="160">
        <f t="shared" si="2"/>
        <v>1540493.9999999998</v>
      </c>
      <c r="Q46" s="161"/>
    </row>
    <row r="47" spans="2:17" x14ac:dyDescent="0.25">
      <c r="B47" s="155">
        <f t="shared" si="3"/>
        <v>34</v>
      </c>
      <c r="C47" s="156" t="s">
        <v>265</v>
      </c>
      <c r="D47" s="156">
        <v>2.5</v>
      </c>
      <c r="E47" s="157">
        <f t="shared" si="0"/>
        <v>11163</v>
      </c>
      <c r="F47" s="345">
        <v>3942</v>
      </c>
      <c r="G47" s="346"/>
      <c r="H47" s="347"/>
      <c r="I47" s="348"/>
      <c r="J47" s="349">
        <v>7221</v>
      </c>
      <c r="K47" s="350"/>
      <c r="L47" s="160"/>
      <c r="M47" s="160">
        <v>2.2999999999999998</v>
      </c>
      <c r="N47" s="160">
        <f t="shared" si="1"/>
        <v>770246.99999999988</v>
      </c>
      <c r="O47" s="160"/>
      <c r="P47" s="160">
        <f t="shared" si="2"/>
        <v>770246.99999999988</v>
      </c>
      <c r="Q47" s="161"/>
    </row>
    <row r="48" spans="2:17" x14ac:dyDescent="0.25">
      <c r="B48" s="155">
        <f t="shared" si="3"/>
        <v>35</v>
      </c>
      <c r="C48" s="156" t="s">
        <v>266</v>
      </c>
      <c r="D48" s="156">
        <v>0.5</v>
      </c>
      <c r="E48" s="157">
        <f t="shared" si="0"/>
        <v>11163</v>
      </c>
      <c r="F48" s="345">
        <v>3942</v>
      </c>
      <c r="G48" s="346"/>
      <c r="H48" s="347"/>
      <c r="I48" s="348"/>
      <c r="J48" s="349">
        <v>7221</v>
      </c>
      <c r="K48" s="350"/>
      <c r="L48" s="160"/>
      <c r="M48" s="160">
        <v>2.2999999999999998</v>
      </c>
      <c r="N48" s="160">
        <f t="shared" si="1"/>
        <v>154049.4</v>
      </c>
      <c r="O48" s="160"/>
      <c r="P48" s="160">
        <f t="shared" si="2"/>
        <v>154049.4</v>
      </c>
      <c r="Q48" s="161"/>
    </row>
    <row r="49" spans="2:18" x14ac:dyDescent="0.25">
      <c r="B49" s="155">
        <f t="shared" si="3"/>
        <v>36</v>
      </c>
      <c r="C49" s="156" t="s">
        <v>267</v>
      </c>
      <c r="D49" s="156">
        <v>0.1</v>
      </c>
      <c r="E49" s="157">
        <f t="shared" si="0"/>
        <v>7084</v>
      </c>
      <c r="F49" s="345">
        <v>7084</v>
      </c>
      <c r="G49" s="346"/>
      <c r="H49" s="347"/>
      <c r="I49" s="348"/>
      <c r="J49" s="345"/>
      <c r="K49" s="346"/>
      <c r="L49" s="157"/>
      <c r="M49" s="157">
        <v>2.2999999999999998</v>
      </c>
      <c r="N49" s="157">
        <f t="shared" si="1"/>
        <v>19551.840000000004</v>
      </c>
      <c r="O49" s="157"/>
      <c r="P49" s="157">
        <f t="shared" si="2"/>
        <v>19551.840000000004</v>
      </c>
      <c r="Q49" s="161"/>
    </row>
    <row r="50" spans="2:18" x14ac:dyDescent="0.25">
      <c r="B50" s="156"/>
      <c r="C50" s="163" t="s">
        <v>236</v>
      </c>
      <c r="D50" s="164">
        <f>D14+D15+D16+D17+D18+D19+D20+D21+D22+D23+D24+D25+D26+D27+D28+D29+D30+D31+D32+D33+D34+D35+D36+D37+D38+D39+D40+D41+D42+D43+D44+D45+D46+D47+D48+D49</f>
        <v>136.1</v>
      </c>
      <c r="E50" s="165">
        <f>E14+E15+E16+E17+E18+E19+E20+E21+E22+E23+E24+E25+E26+E27+E28+E29+E30+E31+E32+E33+E34+E35+E36+E37+E38+E39+E40+E41+E42+E43+E44+E45+E46+E47+E48+E49</f>
        <v>500388.84</v>
      </c>
      <c r="F50" s="344">
        <f>F14+F15+F16+F17+F18+F19+F20+F21+F22+F23+F24+F25+F26+F27+F28+F29+F30+F31+F32+F33+F34+F35+F36+F37+F38+F39+F40+F41+F42+F43+F44+F45+F46+F47+F48+F49</f>
        <v>249097</v>
      </c>
      <c r="G50" s="344"/>
      <c r="H50" s="344">
        <f>H14+H15+H16+H17+H20+H21+H24+H26+H28+H30+H31+H32+H33+H34+H35+H36+H37+H38+H39+H40+H41+H42+H43+H44+H45+H46+H47+H48+H49</f>
        <v>0</v>
      </c>
      <c r="I50" s="344"/>
      <c r="J50" s="344">
        <f>J14+J15+J16++J17+J18+J19+J20+J21+J22+J23+J24+J25+J26+J27+J28+J29+J30+J31+J32+J33+J34+J35+J36+J37+J38+J39+J40+J41+J42+J43+J44+J45+J46+J47+J48+J49</f>
        <v>251291.84000000005</v>
      </c>
      <c r="K50" s="344"/>
      <c r="L50" s="165">
        <f>L14+L15+L16+L17+L20+L21+L24+L26+L28+L30+L31+L32+L33+L34+L35+L36+L37+L38+L39+L40+L41+L42+L43+L44++L45+L46+L47+L48+L49</f>
        <v>0</v>
      </c>
      <c r="M50" s="166" t="s">
        <v>58</v>
      </c>
      <c r="N50" s="167">
        <f>N14+N15+N16+N17+N18+N19+N20+N21+N22+N23+N24+N25+N26+N27+N28+N29+N30+N31+N32+N33+N34+N35+N36+N37+N38+N39+N40+N41+N42+N43+N44+N45+N46+N47+N48+N49+0.05</f>
        <v>48816263.363000005</v>
      </c>
      <c r="O50" s="165">
        <f>O14+O15+O16+O17+O18+O19+O20+O21+O22+O23+O24+O25+O26+O27+O28+O29+O30+O31+O32+O34+O35</f>
        <v>664572.19999999995</v>
      </c>
      <c r="P50" s="167">
        <f>P14+P15+P16+P17+P18+P19+P20+P21+P22+P23+P24+P25+P26+P27+P28+P29+P30+P31+P32+P33+P34+P35+P36+P37+P38+P39+P40+P41+P42+P43+P44+P45+P46+P47+P48+P49+1.45</f>
        <v>49480836.963000014</v>
      </c>
      <c r="Q50" s="204"/>
      <c r="R50" s="181"/>
    </row>
    <row r="51" spans="2:18" x14ac:dyDescent="0.25">
      <c r="B51" s="168"/>
      <c r="C51" s="216"/>
      <c r="D51" s="217"/>
      <c r="E51" s="218"/>
      <c r="F51" s="219"/>
      <c r="G51" s="219"/>
      <c r="H51" s="219"/>
      <c r="I51" s="219"/>
      <c r="J51" s="219"/>
      <c r="K51" s="219"/>
      <c r="L51" s="218"/>
      <c r="M51" s="220"/>
      <c r="N51" s="226"/>
      <c r="O51" s="218"/>
      <c r="P51" s="226"/>
      <c r="Q51" s="221"/>
      <c r="R51" s="181"/>
    </row>
    <row r="52" spans="2:18" x14ac:dyDescent="0.25">
      <c r="B52" s="168"/>
      <c r="C52" s="306" t="s">
        <v>379</v>
      </c>
      <c r="D52" s="306"/>
      <c r="E52" s="306"/>
      <c r="F52" s="306"/>
      <c r="G52" s="306"/>
      <c r="H52" s="306"/>
      <c r="I52" s="306"/>
      <c r="J52" s="306"/>
      <c r="K52" s="306"/>
      <c r="L52" s="306"/>
      <c r="M52" s="220"/>
      <c r="N52" s="227"/>
      <c r="O52" s="218"/>
      <c r="P52" s="227"/>
      <c r="Q52" s="221"/>
      <c r="R52" s="181"/>
    </row>
    <row r="53" spans="2:18" x14ac:dyDescent="0.25">
      <c r="B53" s="168"/>
      <c r="C53" s="216"/>
      <c r="D53" s="217"/>
      <c r="E53" s="218"/>
      <c r="F53" s="219"/>
      <c r="G53" s="219"/>
      <c r="H53" s="219"/>
      <c r="I53" s="219"/>
      <c r="J53" s="219"/>
      <c r="K53" s="219"/>
      <c r="L53" s="218"/>
      <c r="M53" s="220"/>
      <c r="N53" s="227"/>
      <c r="O53" s="218"/>
      <c r="P53" s="227"/>
      <c r="Q53" s="221"/>
      <c r="R53" s="181"/>
    </row>
    <row r="54" spans="2:18" ht="14.95" customHeight="1" x14ac:dyDescent="0.25">
      <c r="B54" s="213" t="s">
        <v>380</v>
      </c>
      <c r="C54" s="213" t="s">
        <v>381</v>
      </c>
      <c r="D54" s="307" t="s">
        <v>382</v>
      </c>
      <c r="E54" s="307"/>
      <c r="F54" s="307"/>
      <c r="G54" s="307" t="s">
        <v>268</v>
      </c>
      <c r="H54" s="307"/>
      <c r="I54" s="307" t="s">
        <v>383</v>
      </c>
      <c r="J54" s="307"/>
      <c r="K54" s="307" t="s">
        <v>384</v>
      </c>
      <c r="L54" s="307"/>
      <c r="M54" s="307"/>
      <c r="N54" s="227"/>
      <c r="O54" s="218"/>
      <c r="P54" s="227"/>
      <c r="Q54" s="221"/>
      <c r="R54" s="181"/>
    </row>
    <row r="55" spans="2:18" x14ac:dyDescent="0.25">
      <c r="B55" s="222"/>
      <c r="C55" s="155">
        <v>2</v>
      </c>
      <c r="D55" s="308">
        <v>3</v>
      </c>
      <c r="E55" s="309"/>
      <c r="F55" s="310"/>
      <c r="G55" s="308">
        <v>4</v>
      </c>
      <c r="H55" s="310"/>
      <c r="I55" s="308">
        <v>5</v>
      </c>
      <c r="J55" s="310"/>
      <c r="K55" s="308">
        <v>6</v>
      </c>
      <c r="L55" s="309"/>
      <c r="M55" s="310"/>
      <c r="N55" s="227"/>
      <c r="O55" s="218"/>
      <c r="P55" s="227"/>
      <c r="Q55" s="221"/>
      <c r="R55" s="181"/>
    </row>
    <row r="56" spans="2:18" ht="28.55" customHeight="1" x14ac:dyDescent="0.25">
      <c r="B56" s="210"/>
      <c r="C56" s="162" t="s">
        <v>385</v>
      </c>
      <c r="D56" s="308"/>
      <c r="E56" s="309"/>
      <c r="F56" s="310"/>
      <c r="G56" s="308"/>
      <c r="H56" s="310"/>
      <c r="I56" s="308"/>
      <c r="J56" s="310"/>
      <c r="K56" s="308"/>
      <c r="L56" s="309"/>
      <c r="M56" s="310"/>
      <c r="N56" s="227"/>
      <c r="O56" s="218"/>
      <c r="P56" s="227"/>
      <c r="Q56" s="221"/>
      <c r="R56" s="181"/>
    </row>
    <row r="57" spans="2:18" x14ac:dyDescent="0.25">
      <c r="B57" s="155">
        <v>1</v>
      </c>
      <c r="C57" s="156" t="s">
        <v>386</v>
      </c>
      <c r="D57" s="317">
        <v>600</v>
      </c>
      <c r="E57" s="318"/>
      <c r="F57" s="319"/>
      <c r="G57" s="311">
        <v>2</v>
      </c>
      <c r="H57" s="313"/>
      <c r="I57" s="311">
        <v>2</v>
      </c>
      <c r="J57" s="313"/>
      <c r="K57" s="317">
        <f>D57*G57*I57</f>
        <v>2400</v>
      </c>
      <c r="L57" s="318"/>
      <c r="M57" s="319"/>
      <c r="N57" s="227"/>
      <c r="O57" s="10"/>
      <c r="P57" s="227"/>
    </row>
    <row r="58" spans="2:18" x14ac:dyDescent="0.25">
      <c r="B58" s="155">
        <v>2</v>
      </c>
      <c r="C58" s="156" t="s">
        <v>387</v>
      </c>
      <c r="D58" s="317">
        <v>1400</v>
      </c>
      <c r="E58" s="318"/>
      <c r="F58" s="319"/>
      <c r="G58" s="311">
        <v>2</v>
      </c>
      <c r="H58" s="313"/>
      <c r="I58" s="311">
        <v>2</v>
      </c>
      <c r="J58" s="313"/>
      <c r="K58" s="317">
        <f>D58*G58*I58</f>
        <v>5600</v>
      </c>
      <c r="L58" s="318"/>
      <c r="M58" s="319"/>
      <c r="N58" s="10"/>
      <c r="O58" s="10"/>
      <c r="P58" s="10"/>
    </row>
    <row r="59" spans="2:18" x14ac:dyDescent="0.25">
      <c r="B59" s="210"/>
      <c r="C59" s="223" t="s">
        <v>236</v>
      </c>
      <c r="D59" s="311" t="s">
        <v>58</v>
      </c>
      <c r="E59" s="312"/>
      <c r="F59" s="313"/>
      <c r="G59" s="311" t="s">
        <v>58</v>
      </c>
      <c r="H59" s="313"/>
      <c r="I59" s="311" t="s">
        <v>58</v>
      </c>
      <c r="J59" s="313"/>
      <c r="K59" s="314">
        <f>K57+K58</f>
        <v>8000</v>
      </c>
      <c r="L59" s="315"/>
      <c r="M59" s="316"/>
      <c r="N59" s="10"/>
      <c r="O59" s="10"/>
      <c r="P59" s="10"/>
    </row>
    <row r="60" spans="2:18" x14ac:dyDescent="0.25">
      <c r="B60" s="181"/>
      <c r="C60" s="224"/>
      <c r="D60" s="224"/>
      <c r="E60" s="224"/>
      <c r="F60" s="224"/>
      <c r="G60" s="224"/>
      <c r="H60" s="224"/>
      <c r="I60" s="224"/>
      <c r="J60" s="224"/>
      <c r="K60" s="225"/>
      <c r="L60" s="225"/>
      <c r="M60" s="225"/>
      <c r="N60" s="10"/>
      <c r="O60" s="10"/>
      <c r="P60" s="10"/>
    </row>
    <row r="61" spans="2:18" x14ac:dyDescent="0.25">
      <c r="B61" s="343" t="s">
        <v>270</v>
      </c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10"/>
      <c r="O61" s="10"/>
      <c r="P61" s="179"/>
      <c r="Q61" s="125"/>
    </row>
    <row r="62" spans="2:18" x14ac:dyDescent="0.2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79"/>
    </row>
    <row r="63" spans="2:18" x14ac:dyDescent="0.2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79"/>
    </row>
    <row r="64" spans="2:18" ht="78.8" customHeight="1" x14ac:dyDescent="0.25">
      <c r="B64" s="153" t="s">
        <v>271</v>
      </c>
      <c r="C64" s="153" t="s">
        <v>272</v>
      </c>
      <c r="D64" s="153" t="s">
        <v>273</v>
      </c>
      <c r="E64" s="153" t="s">
        <v>274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5.65" x14ac:dyDescent="0.25">
      <c r="B65" s="153">
        <v>1</v>
      </c>
      <c r="C65" s="153">
        <v>2</v>
      </c>
      <c r="D65" s="153">
        <v>3</v>
      </c>
      <c r="E65" s="153">
        <v>4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37.549999999999997" customHeight="1" x14ac:dyDescent="0.25">
      <c r="B66" s="153">
        <v>1</v>
      </c>
      <c r="C66" s="170" t="s">
        <v>275</v>
      </c>
      <c r="D66" s="153" t="s">
        <v>276</v>
      </c>
      <c r="E66" s="102">
        <f>E67</f>
        <v>10195682.6796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2:16" ht="16.5" customHeight="1" x14ac:dyDescent="0.25">
      <c r="B67" s="289" t="s">
        <v>277</v>
      </c>
      <c r="C67" s="171" t="s">
        <v>12</v>
      </c>
      <c r="D67" s="333">
        <v>46344012.18</v>
      </c>
      <c r="E67" s="333">
        <f>D67*22%</f>
        <v>10195682.6796</v>
      </c>
      <c r="F67" s="10"/>
      <c r="G67" s="10"/>
      <c r="H67" s="10"/>
      <c r="I67" s="10"/>
      <c r="J67" s="10"/>
      <c r="K67" s="10"/>
      <c r="L67" s="10"/>
      <c r="M67" s="10"/>
      <c r="N67" s="179"/>
      <c r="O67" s="10"/>
      <c r="P67" s="10"/>
    </row>
    <row r="68" spans="2:16" ht="23.3" customHeight="1" x14ac:dyDescent="0.25">
      <c r="B68" s="289"/>
      <c r="C68" s="171" t="s">
        <v>278</v>
      </c>
      <c r="D68" s="333"/>
      <c r="E68" s="33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2:16" ht="14.3" customHeight="1" x14ac:dyDescent="0.25">
      <c r="B69" s="153" t="s">
        <v>279</v>
      </c>
      <c r="C69" s="172" t="s">
        <v>280</v>
      </c>
      <c r="D69" s="153" t="s">
        <v>206</v>
      </c>
      <c r="E69" s="102">
        <v>0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2:16" ht="52.5" customHeight="1" x14ac:dyDescent="0.25">
      <c r="B70" s="153" t="s">
        <v>281</v>
      </c>
      <c r="C70" s="170" t="s">
        <v>282</v>
      </c>
      <c r="D70" s="153" t="s">
        <v>206</v>
      </c>
      <c r="E70" s="153" t="s">
        <v>206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2:16" ht="36" customHeight="1" x14ac:dyDescent="0.25">
      <c r="B71" s="153">
        <v>2</v>
      </c>
      <c r="C71" s="170" t="s">
        <v>283</v>
      </c>
      <c r="D71" s="153" t="s">
        <v>276</v>
      </c>
      <c r="E71" s="102">
        <f>E72+E75</f>
        <v>1436664.3775799999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2:16" ht="16.5" customHeight="1" x14ac:dyDescent="0.25">
      <c r="B72" s="289" t="s">
        <v>284</v>
      </c>
      <c r="C72" s="172" t="s">
        <v>12</v>
      </c>
      <c r="D72" s="333">
        <v>46344012.18</v>
      </c>
      <c r="E72" s="333">
        <f>D72*2.9%</f>
        <v>1343976.3532199999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2:16" ht="48.1" customHeight="1" x14ac:dyDescent="0.25">
      <c r="B73" s="289"/>
      <c r="C73" s="170" t="s">
        <v>285</v>
      </c>
      <c r="D73" s="333"/>
      <c r="E73" s="33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2:16" ht="50.95" customHeight="1" x14ac:dyDescent="0.25">
      <c r="B74" s="153" t="s">
        <v>286</v>
      </c>
      <c r="C74" s="170" t="s">
        <v>287</v>
      </c>
      <c r="D74" s="153" t="s">
        <v>206</v>
      </c>
      <c r="E74" s="153" t="s">
        <v>206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2:16" ht="63.7" customHeight="1" x14ac:dyDescent="0.25">
      <c r="B75" s="153" t="s">
        <v>288</v>
      </c>
      <c r="C75" s="170" t="s">
        <v>289</v>
      </c>
      <c r="D75" s="102">
        <v>46344012.18</v>
      </c>
      <c r="E75" s="102">
        <f>D75*0.2%</f>
        <v>92688.024359999996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2:16" ht="58.6" customHeight="1" x14ac:dyDescent="0.25">
      <c r="B76" s="153" t="s">
        <v>290</v>
      </c>
      <c r="C76" s="173" t="s">
        <v>291</v>
      </c>
      <c r="D76" s="153" t="s">
        <v>206</v>
      </c>
      <c r="E76" s="153" t="s">
        <v>206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2:16" ht="70.5" customHeight="1" x14ac:dyDescent="0.25">
      <c r="B77" s="153" t="s">
        <v>292</v>
      </c>
      <c r="C77" s="173" t="s">
        <v>291</v>
      </c>
      <c r="D77" s="153" t="s">
        <v>206</v>
      </c>
      <c r="E77" s="153" t="s">
        <v>206</v>
      </c>
      <c r="F77" s="10"/>
      <c r="G77" s="10"/>
      <c r="H77" s="10"/>
      <c r="I77" s="10"/>
      <c r="J77" s="10"/>
      <c r="K77" s="10"/>
      <c r="L77" s="10"/>
      <c r="M77" s="179"/>
      <c r="N77" s="10"/>
      <c r="O77" s="10"/>
      <c r="P77" s="10"/>
    </row>
    <row r="78" spans="2:16" ht="50.95" customHeight="1" x14ac:dyDescent="0.25">
      <c r="B78" s="153">
        <v>3</v>
      </c>
      <c r="C78" s="170" t="s">
        <v>293</v>
      </c>
      <c r="D78" s="102">
        <v>46344012.18</v>
      </c>
      <c r="E78" s="102">
        <f>D78*5.1%</f>
        <v>2363544.6211799998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2:16" ht="15.65" x14ac:dyDescent="0.25">
      <c r="B79" s="153"/>
      <c r="C79" s="174" t="s">
        <v>160</v>
      </c>
      <c r="D79" s="153" t="s">
        <v>276</v>
      </c>
      <c r="E79" s="205">
        <f>E66+E71+E78-85739.2</f>
        <v>13910152.478360001</v>
      </c>
      <c r="F79" s="10"/>
      <c r="G79" s="179"/>
      <c r="H79" s="179"/>
      <c r="I79" s="10"/>
      <c r="J79" s="179"/>
      <c r="K79" s="10"/>
      <c r="L79" s="169"/>
      <c r="M79" s="10"/>
      <c r="N79" s="10"/>
      <c r="O79" s="10"/>
      <c r="P79" s="10"/>
    </row>
    <row r="80" spans="2:16" x14ac:dyDescent="0.25">
      <c r="H80" s="125"/>
    </row>
    <row r="81" spans="2:13" x14ac:dyDescent="0.25">
      <c r="B81" s="329" t="s">
        <v>299</v>
      </c>
      <c r="C81" s="329"/>
      <c r="D81" s="329"/>
      <c r="E81" s="329"/>
      <c r="F81" s="329"/>
      <c r="G81" s="329"/>
      <c r="H81" s="329"/>
      <c r="I81" s="10"/>
      <c r="J81" s="10"/>
      <c r="K81" s="10"/>
      <c r="L81" s="10"/>
      <c r="M81" s="10"/>
    </row>
    <row r="82" spans="2:13" x14ac:dyDescent="0.2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 x14ac:dyDescent="0.25">
      <c r="B83" s="328" t="s">
        <v>300</v>
      </c>
      <c r="C83" s="328"/>
      <c r="D83" s="328"/>
      <c r="E83" s="328"/>
      <c r="F83" s="328"/>
      <c r="G83" s="328"/>
      <c r="H83" s="328"/>
      <c r="I83" s="328"/>
      <c r="J83" s="328"/>
      <c r="K83" s="328"/>
      <c r="L83" s="328"/>
      <c r="M83" s="328"/>
    </row>
    <row r="84" spans="2:13" x14ac:dyDescent="0.25">
      <c r="B84" s="328" t="s">
        <v>301</v>
      </c>
      <c r="C84" s="328"/>
      <c r="D84" s="328"/>
      <c r="E84" s="328"/>
      <c r="F84" s="328"/>
      <c r="G84" s="328"/>
      <c r="H84" s="328"/>
      <c r="I84" s="328"/>
      <c r="J84" s="328"/>
      <c r="K84" s="328"/>
      <c r="L84" s="328"/>
      <c r="M84" s="328"/>
    </row>
    <row r="85" spans="2:13" x14ac:dyDescent="0.25"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</row>
    <row r="86" spans="2:13" x14ac:dyDescent="0.25">
      <c r="B86" s="329" t="s">
        <v>302</v>
      </c>
      <c r="C86" s="329"/>
      <c r="D86" s="329"/>
      <c r="E86" s="329"/>
      <c r="F86" s="329"/>
      <c r="G86" s="329"/>
      <c r="H86" s="176"/>
      <c r="I86" s="176"/>
      <c r="J86" s="176"/>
      <c r="K86" s="176"/>
      <c r="L86" s="176"/>
      <c r="M86" s="176"/>
    </row>
    <row r="87" spans="2:13" x14ac:dyDescent="0.25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 ht="68.3" customHeight="1" x14ac:dyDescent="0.25">
      <c r="B88" s="153" t="s">
        <v>271</v>
      </c>
      <c r="C88" s="153" t="s">
        <v>295</v>
      </c>
      <c r="D88" s="153" t="s">
        <v>303</v>
      </c>
      <c r="E88" s="153" t="s">
        <v>304</v>
      </c>
      <c r="F88" s="289" t="s">
        <v>305</v>
      </c>
      <c r="G88" s="289"/>
      <c r="H88" s="33" t="s">
        <v>306</v>
      </c>
      <c r="I88" s="10"/>
      <c r="J88" s="10"/>
      <c r="K88" s="10"/>
      <c r="L88" s="10"/>
      <c r="M88" s="10"/>
    </row>
    <row r="89" spans="2:13" ht="15.65" x14ac:dyDescent="0.25">
      <c r="B89" s="153">
        <v>1</v>
      </c>
      <c r="C89" s="153">
        <v>2</v>
      </c>
      <c r="D89" s="153">
        <v>3</v>
      </c>
      <c r="E89" s="153">
        <v>4</v>
      </c>
      <c r="F89" s="289">
        <v>5</v>
      </c>
      <c r="G89" s="289"/>
      <c r="H89" s="155">
        <v>6</v>
      </c>
      <c r="I89" s="10"/>
      <c r="J89" s="10"/>
      <c r="K89" s="10"/>
      <c r="L89" s="10"/>
      <c r="M89" s="10"/>
    </row>
    <row r="90" spans="2:13" ht="15.65" x14ac:dyDescent="0.25">
      <c r="B90" s="153">
        <v>1</v>
      </c>
      <c r="C90" s="175" t="s">
        <v>307</v>
      </c>
      <c r="D90" s="153">
        <v>4</v>
      </c>
      <c r="E90" s="153">
        <v>12</v>
      </c>
      <c r="F90" s="333">
        <v>612.66999999999996</v>
      </c>
      <c r="G90" s="333"/>
      <c r="H90" s="177">
        <f>D90*E90*F90</f>
        <v>29408.159999999996</v>
      </c>
      <c r="I90" s="10"/>
      <c r="J90" s="10"/>
      <c r="K90" s="10"/>
      <c r="L90" s="10"/>
      <c r="M90" s="10"/>
    </row>
    <row r="91" spans="2:13" ht="15.65" x14ac:dyDescent="0.25">
      <c r="B91" s="153">
        <v>2</v>
      </c>
      <c r="C91" s="175" t="s">
        <v>308</v>
      </c>
      <c r="D91" s="153">
        <v>4</v>
      </c>
      <c r="E91" s="153">
        <v>12</v>
      </c>
      <c r="F91" s="333">
        <v>581.1</v>
      </c>
      <c r="G91" s="333"/>
      <c r="H91" s="177">
        <f t="shared" ref="H91:H95" si="9">D91*E91*F91</f>
        <v>27892.800000000003</v>
      </c>
      <c r="I91" s="10"/>
      <c r="J91" s="10"/>
      <c r="K91" s="10"/>
      <c r="L91" s="10"/>
      <c r="M91" s="10"/>
    </row>
    <row r="92" spans="2:13" ht="23.3" customHeight="1" x14ac:dyDescent="0.25">
      <c r="B92" s="153">
        <v>3</v>
      </c>
      <c r="C92" s="175" t="s">
        <v>309</v>
      </c>
      <c r="D92" s="153">
        <v>4</v>
      </c>
      <c r="E92" s="153">
        <v>12</v>
      </c>
      <c r="F92" s="322">
        <v>681</v>
      </c>
      <c r="G92" s="323"/>
      <c r="H92" s="177">
        <f>D92*E92*F92</f>
        <v>32688</v>
      </c>
      <c r="I92" s="10"/>
      <c r="J92" s="10"/>
      <c r="K92" s="10"/>
      <c r="L92" s="10"/>
      <c r="M92" s="10"/>
    </row>
    <row r="93" spans="2:13" ht="35.35" customHeight="1" x14ac:dyDescent="0.25">
      <c r="B93" s="153">
        <v>4</v>
      </c>
      <c r="C93" s="175" t="s">
        <v>310</v>
      </c>
      <c r="D93" s="153">
        <v>1</v>
      </c>
      <c r="E93" s="153">
        <v>12</v>
      </c>
      <c r="F93" s="322">
        <v>645.1</v>
      </c>
      <c r="G93" s="323"/>
      <c r="H93" s="178">
        <f>D93*E93*F93</f>
        <v>7741.2000000000007</v>
      </c>
      <c r="I93" s="10"/>
      <c r="J93" s="10"/>
      <c r="K93" s="10"/>
      <c r="L93" s="10"/>
      <c r="M93" s="10"/>
    </row>
    <row r="94" spans="2:13" ht="23.95" customHeight="1" x14ac:dyDescent="0.25">
      <c r="B94" s="153">
        <v>5</v>
      </c>
      <c r="C94" s="175" t="s">
        <v>311</v>
      </c>
      <c r="D94" s="153">
        <v>1</v>
      </c>
      <c r="E94" s="153">
        <v>12</v>
      </c>
      <c r="F94" s="322">
        <v>800</v>
      </c>
      <c r="G94" s="323"/>
      <c r="H94" s="177">
        <f t="shared" si="9"/>
        <v>9600</v>
      </c>
      <c r="I94" s="10"/>
      <c r="J94" s="10"/>
      <c r="K94" s="10"/>
      <c r="L94" s="10"/>
      <c r="M94" s="10"/>
    </row>
    <row r="95" spans="2:13" ht="15.65" x14ac:dyDescent="0.25">
      <c r="B95" s="153">
        <v>6</v>
      </c>
      <c r="C95" s="175" t="s">
        <v>312</v>
      </c>
      <c r="D95" s="153">
        <v>2</v>
      </c>
      <c r="E95" s="153">
        <v>12</v>
      </c>
      <c r="F95" s="322">
        <v>900</v>
      </c>
      <c r="G95" s="323"/>
      <c r="H95" s="177">
        <f t="shared" si="9"/>
        <v>21600</v>
      </c>
      <c r="I95" s="10"/>
      <c r="J95" s="10"/>
      <c r="K95" s="10"/>
      <c r="L95" s="10"/>
      <c r="M95" s="10"/>
    </row>
    <row r="96" spans="2:13" ht="15.65" x14ac:dyDescent="0.25">
      <c r="B96" s="153"/>
      <c r="C96" s="174" t="s">
        <v>160</v>
      </c>
      <c r="D96" s="153" t="s">
        <v>58</v>
      </c>
      <c r="E96" s="153" t="s">
        <v>276</v>
      </c>
      <c r="F96" s="289" t="s">
        <v>58</v>
      </c>
      <c r="G96" s="289"/>
      <c r="H96" s="234">
        <f>H90+H91+H92+H93+H94+H95-0.16</f>
        <v>128929.99999999999</v>
      </c>
      <c r="I96" s="10"/>
      <c r="J96" s="10"/>
      <c r="K96" s="10"/>
      <c r="L96" s="179"/>
      <c r="M96" s="10"/>
    </row>
    <row r="97" spans="2:15" x14ac:dyDescent="0.25">
      <c r="L97" s="186"/>
      <c r="M97" s="125"/>
    </row>
    <row r="98" spans="2:15" x14ac:dyDescent="0.25">
      <c r="B98" s="329" t="s">
        <v>313</v>
      </c>
      <c r="C98" s="329"/>
      <c r="D98" s="329"/>
      <c r="E98" s="329"/>
      <c r="F98" s="329"/>
      <c r="G98" s="329"/>
      <c r="H98" s="176"/>
    </row>
    <row r="99" spans="2:15" x14ac:dyDescent="0.25">
      <c r="C99" s="10"/>
      <c r="D99" s="10"/>
      <c r="E99" s="10"/>
      <c r="F99" s="10"/>
      <c r="G99" s="10"/>
      <c r="H99" s="10"/>
    </row>
    <row r="100" spans="2:15" ht="46.9" x14ac:dyDescent="0.25">
      <c r="B100" s="153" t="s">
        <v>271</v>
      </c>
      <c r="C100" s="153" t="s">
        <v>7</v>
      </c>
      <c r="D100" s="153" t="s">
        <v>314</v>
      </c>
      <c r="E100" s="153" t="s">
        <v>315</v>
      </c>
      <c r="F100" s="289" t="s">
        <v>316</v>
      </c>
      <c r="G100" s="289"/>
      <c r="H100" s="33" t="s">
        <v>306</v>
      </c>
      <c r="J100" s="182"/>
      <c r="K100" s="183"/>
      <c r="L100" s="183"/>
      <c r="M100" s="183"/>
    </row>
    <row r="101" spans="2:15" ht="15.65" x14ac:dyDescent="0.25">
      <c r="B101" s="153">
        <v>1</v>
      </c>
      <c r="C101" s="153">
        <v>2</v>
      </c>
      <c r="D101" s="153">
        <v>3</v>
      </c>
      <c r="E101" s="153">
        <v>4</v>
      </c>
      <c r="F101" s="289">
        <v>5</v>
      </c>
      <c r="G101" s="289"/>
      <c r="H101" s="155">
        <v>6</v>
      </c>
      <c r="L101" s="180"/>
      <c r="M101" s="180"/>
      <c r="N101" s="180"/>
      <c r="O101" s="184"/>
    </row>
    <row r="102" spans="2:15" ht="15.65" x14ac:dyDescent="0.25">
      <c r="B102" s="153">
        <v>1</v>
      </c>
      <c r="C102" s="175" t="s">
        <v>317</v>
      </c>
      <c r="D102" s="102">
        <v>2100.6</v>
      </c>
      <c r="E102" s="235">
        <v>2273.9699999999998</v>
      </c>
      <c r="F102" s="342">
        <v>1.034</v>
      </c>
      <c r="G102" s="342"/>
      <c r="H102" s="157">
        <f>D102*E102*F102</f>
        <v>4939109.2289879993</v>
      </c>
      <c r="O102" s="184"/>
    </row>
    <row r="103" spans="2:15" ht="15.65" x14ac:dyDescent="0.25">
      <c r="B103" s="153">
        <v>2</v>
      </c>
      <c r="C103" s="175" t="s">
        <v>318</v>
      </c>
      <c r="D103" s="102">
        <v>103709.052</v>
      </c>
      <c r="E103" s="205">
        <v>5.27</v>
      </c>
      <c r="F103" s="340">
        <v>1.034</v>
      </c>
      <c r="G103" s="341"/>
      <c r="H103" s="157">
        <f>D103*E103*F103</f>
        <v>565129.29197736003</v>
      </c>
    </row>
    <row r="104" spans="2:15" ht="15.65" x14ac:dyDescent="0.25">
      <c r="B104" s="153">
        <v>3</v>
      </c>
      <c r="C104" s="175" t="s">
        <v>319</v>
      </c>
      <c r="D104" s="102">
        <v>280.99799999999999</v>
      </c>
      <c r="E104" s="235">
        <v>2273.9699999999998</v>
      </c>
      <c r="F104" s="340">
        <v>1.034</v>
      </c>
      <c r="G104" s="341"/>
      <c r="H104" s="157">
        <f>D104*E104*F104</f>
        <v>660706.37681003986</v>
      </c>
      <c r="M104" s="125"/>
    </row>
    <row r="105" spans="2:15" ht="15.65" x14ac:dyDescent="0.25">
      <c r="B105" s="153">
        <v>4</v>
      </c>
      <c r="C105" s="175" t="s">
        <v>320</v>
      </c>
      <c r="D105" s="102">
        <v>5000.62</v>
      </c>
      <c r="E105" s="235">
        <v>14.26</v>
      </c>
      <c r="F105" s="340">
        <v>1.034</v>
      </c>
      <c r="G105" s="341"/>
      <c r="H105" s="157">
        <f t="shared" ref="H105" si="10">D105*E105*F105</f>
        <v>73733.341800800001</v>
      </c>
      <c r="M105" s="125"/>
    </row>
    <row r="106" spans="2:15" ht="15.65" x14ac:dyDescent="0.25">
      <c r="B106" s="153">
        <v>5</v>
      </c>
      <c r="C106" s="175" t="s">
        <v>321</v>
      </c>
      <c r="D106" s="102">
        <v>5200.6805000000004</v>
      </c>
      <c r="E106" s="235">
        <v>30.21</v>
      </c>
      <c r="F106" s="340">
        <v>1.034</v>
      </c>
      <c r="G106" s="341"/>
      <c r="H106" s="157">
        <f>D106*E106*F106</f>
        <v>162454.38487377003</v>
      </c>
      <c r="M106" s="125"/>
    </row>
    <row r="107" spans="2:15" ht="15.65" x14ac:dyDescent="0.25">
      <c r="B107" s="153"/>
      <c r="C107" s="175"/>
      <c r="D107" s="153" t="s">
        <v>58</v>
      </c>
      <c r="E107" s="153" t="s">
        <v>276</v>
      </c>
      <c r="F107" s="289" t="s">
        <v>58</v>
      </c>
      <c r="G107" s="289"/>
      <c r="H107" s="160">
        <f>H102+H103+H104+H105+H106</f>
        <v>6401132.6244499683</v>
      </c>
      <c r="J107" s="125"/>
      <c r="L107" s="125"/>
      <c r="N107" s="185"/>
    </row>
    <row r="108" spans="2:15" x14ac:dyDescent="0.25">
      <c r="L108" s="125"/>
    </row>
    <row r="109" spans="2:15" x14ac:dyDescent="0.25">
      <c r="B109" s="329" t="s">
        <v>322</v>
      </c>
      <c r="C109" s="329"/>
      <c r="D109" s="329"/>
      <c r="E109" s="329"/>
      <c r="F109" s="329"/>
      <c r="G109" s="329"/>
      <c r="J109" s="125"/>
    </row>
    <row r="110" spans="2:15" x14ac:dyDescent="0.25">
      <c r="C110" s="10"/>
      <c r="D110" s="10"/>
      <c r="E110" s="10"/>
      <c r="F110" s="10"/>
      <c r="G110" s="10"/>
      <c r="L110" s="125"/>
    </row>
    <row r="111" spans="2:15" ht="31.25" x14ac:dyDescent="0.25">
      <c r="B111" s="153" t="s">
        <v>271</v>
      </c>
      <c r="C111" s="153" t="s">
        <v>295</v>
      </c>
      <c r="D111" s="153" t="s">
        <v>323</v>
      </c>
      <c r="E111" s="153" t="s">
        <v>324</v>
      </c>
      <c r="F111" s="289" t="s">
        <v>325</v>
      </c>
      <c r="G111" s="289"/>
    </row>
    <row r="112" spans="2:15" ht="15.65" x14ac:dyDescent="0.25">
      <c r="B112" s="153">
        <v>1</v>
      </c>
      <c r="C112" s="153">
        <v>2</v>
      </c>
      <c r="D112" s="153">
        <v>3</v>
      </c>
      <c r="E112" s="153">
        <v>4</v>
      </c>
      <c r="F112" s="289">
        <v>5</v>
      </c>
      <c r="G112" s="289"/>
    </row>
    <row r="113" spans="2:14" ht="15.65" x14ac:dyDescent="0.25">
      <c r="B113" s="153">
        <v>1</v>
      </c>
      <c r="C113" s="175" t="s">
        <v>326</v>
      </c>
      <c r="D113" s="153" t="s">
        <v>327</v>
      </c>
      <c r="E113" s="153">
        <v>12</v>
      </c>
      <c r="F113" s="333">
        <v>30000</v>
      </c>
      <c r="G113" s="333"/>
      <c r="N113" s="125"/>
    </row>
    <row r="114" spans="2:14" ht="15.65" x14ac:dyDescent="0.25">
      <c r="B114" s="153">
        <v>2</v>
      </c>
      <c r="C114" s="175" t="s">
        <v>328</v>
      </c>
      <c r="D114" s="153" t="s">
        <v>327</v>
      </c>
      <c r="E114" s="153">
        <v>6</v>
      </c>
      <c r="F114" s="322">
        <v>40000</v>
      </c>
      <c r="G114" s="323"/>
      <c r="N114" s="125"/>
    </row>
    <row r="115" spans="2:14" ht="15.65" x14ac:dyDescent="0.25">
      <c r="B115" s="153">
        <v>2</v>
      </c>
      <c r="C115" s="175" t="s">
        <v>329</v>
      </c>
      <c r="D115" s="153" t="s">
        <v>327</v>
      </c>
      <c r="E115" s="153">
        <v>1</v>
      </c>
      <c r="F115" s="333">
        <f>107100-50000</f>
        <v>57100</v>
      </c>
      <c r="G115" s="333"/>
      <c r="N115" s="125"/>
    </row>
    <row r="116" spans="2:14" ht="15.65" x14ac:dyDescent="0.25">
      <c r="B116" s="153">
        <v>3</v>
      </c>
      <c r="C116" s="175" t="s">
        <v>330</v>
      </c>
      <c r="D116" s="153" t="s">
        <v>327</v>
      </c>
      <c r="E116" s="153">
        <v>1</v>
      </c>
      <c r="F116" s="322">
        <v>30000</v>
      </c>
      <c r="G116" s="323"/>
      <c r="N116" s="125"/>
    </row>
    <row r="117" spans="2:14" ht="31.25" x14ac:dyDescent="0.25">
      <c r="B117" s="153">
        <v>4</v>
      </c>
      <c r="C117" s="175" t="s">
        <v>331</v>
      </c>
      <c r="D117" s="153" t="s">
        <v>327</v>
      </c>
      <c r="E117" s="153">
        <v>12</v>
      </c>
      <c r="F117" s="322">
        <v>25000</v>
      </c>
      <c r="G117" s="323"/>
      <c r="N117" s="125"/>
    </row>
    <row r="118" spans="2:14" ht="46.9" x14ac:dyDescent="0.25">
      <c r="B118" s="153">
        <v>5</v>
      </c>
      <c r="C118" s="175" t="s">
        <v>332</v>
      </c>
      <c r="D118" s="153" t="s">
        <v>327</v>
      </c>
      <c r="E118" s="153">
        <v>12</v>
      </c>
      <c r="F118" s="322">
        <v>8000</v>
      </c>
      <c r="G118" s="323"/>
      <c r="N118" s="125"/>
    </row>
    <row r="119" spans="2:14" ht="15.65" x14ac:dyDescent="0.25">
      <c r="B119" s="153">
        <v>6</v>
      </c>
      <c r="C119" s="175" t="s">
        <v>333</v>
      </c>
      <c r="D119" s="153" t="s">
        <v>327</v>
      </c>
      <c r="E119" s="153">
        <v>12</v>
      </c>
      <c r="F119" s="322">
        <v>20000</v>
      </c>
      <c r="G119" s="323"/>
      <c r="N119" s="125"/>
    </row>
    <row r="120" spans="2:14" ht="15.65" x14ac:dyDescent="0.25">
      <c r="B120" s="153">
        <v>7</v>
      </c>
      <c r="C120" s="175" t="s">
        <v>334</v>
      </c>
      <c r="D120" s="153"/>
      <c r="E120" s="153">
        <v>12</v>
      </c>
      <c r="F120" s="322">
        <v>5000</v>
      </c>
      <c r="G120" s="323"/>
      <c r="N120" s="125"/>
    </row>
    <row r="121" spans="2:14" ht="15.65" x14ac:dyDescent="0.25">
      <c r="B121" s="153">
        <v>8</v>
      </c>
      <c r="C121" s="175" t="s">
        <v>335</v>
      </c>
      <c r="D121" s="153" t="s">
        <v>327</v>
      </c>
      <c r="E121" s="153"/>
      <c r="F121" s="322">
        <v>10000</v>
      </c>
      <c r="G121" s="323"/>
      <c r="N121" s="125"/>
    </row>
    <row r="122" spans="2:14" ht="15.65" x14ac:dyDescent="0.25">
      <c r="B122" s="153">
        <v>9</v>
      </c>
      <c r="C122" s="175" t="s">
        <v>336</v>
      </c>
      <c r="D122" s="153" t="s">
        <v>327</v>
      </c>
      <c r="E122" s="153">
        <v>1</v>
      </c>
      <c r="F122" s="322">
        <f>64900-50000</f>
        <v>14900</v>
      </c>
      <c r="G122" s="323"/>
      <c r="N122" s="125"/>
    </row>
    <row r="123" spans="2:14" ht="15.65" x14ac:dyDescent="0.25">
      <c r="B123" s="153"/>
      <c r="C123" s="174" t="s">
        <v>160</v>
      </c>
      <c r="D123" s="153" t="s">
        <v>58</v>
      </c>
      <c r="E123" s="153" t="s">
        <v>276</v>
      </c>
      <c r="F123" s="324">
        <f>F113+F114+F115+F116+F117+F118+F119+F120+F121+F122</f>
        <v>240000</v>
      </c>
      <c r="G123" s="325"/>
      <c r="J123" s="125"/>
      <c r="L123" s="125"/>
      <c r="M123" s="125"/>
      <c r="N123" s="125"/>
    </row>
    <row r="124" spans="2:14" x14ac:dyDescent="0.25">
      <c r="J124" s="125"/>
      <c r="L124" s="186"/>
      <c r="N124" s="180"/>
    </row>
    <row r="125" spans="2:14" x14ac:dyDescent="0.25">
      <c r="J125" s="125"/>
      <c r="L125" s="180"/>
      <c r="M125" s="125"/>
      <c r="N125" s="180"/>
    </row>
    <row r="126" spans="2:14" x14ac:dyDescent="0.25">
      <c r="B126" s="329" t="s">
        <v>337</v>
      </c>
      <c r="C126" s="329"/>
      <c r="D126" s="329"/>
      <c r="E126" s="329"/>
      <c r="F126" s="329"/>
      <c r="G126" s="329"/>
      <c r="L126" s="180"/>
      <c r="N126" s="180"/>
    </row>
    <row r="127" spans="2:14" x14ac:dyDescent="0.25">
      <c r="C127" s="10"/>
      <c r="D127" s="10"/>
      <c r="E127" s="10"/>
      <c r="F127" s="10"/>
      <c r="G127" s="10"/>
    </row>
    <row r="128" spans="2:14" ht="31.25" x14ac:dyDescent="0.25">
      <c r="B128" s="153" t="s">
        <v>271</v>
      </c>
      <c r="C128" s="153" t="s">
        <v>295</v>
      </c>
      <c r="D128" s="153" t="s">
        <v>338</v>
      </c>
      <c r="E128" s="153" t="s">
        <v>339</v>
      </c>
      <c r="F128" s="320"/>
      <c r="G128" s="320"/>
    </row>
    <row r="129" spans="2:16" ht="15.65" x14ac:dyDescent="0.25">
      <c r="B129" s="153">
        <v>1</v>
      </c>
      <c r="C129" s="153">
        <v>2</v>
      </c>
      <c r="D129" s="153">
        <v>3</v>
      </c>
      <c r="E129" s="153">
        <v>4</v>
      </c>
      <c r="F129" s="320"/>
      <c r="G129" s="320"/>
      <c r="L129" s="181"/>
    </row>
    <row r="130" spans="2:16" ht="21.1" customHeight="1" x14ac:dyDescent="0.25">
      <c r="B130" s="153">
        <v>1</v>
      </c>
      <c r="C130" s="175" t="s">
        <v>340</v>
      </c>
      <c r="D130" s="187">
        <v>1</v>
      </c>
      <c r="E130" s="102">
        <v>2233.31</v>
      </c>
      <c r="F130" s="320"/>
      <c r="G130" s="320"/>
      <c r="L130" s="188"/>
    </row>
    <row r="131" spans="2:16" ht="35.35" customHeight="1" x14ac:dyDescent="0.25">
      <c r="B131" s="153">
        <v>2</v>
      </c>
      <c r="C131" s="175" t="s">
        <v>341</v>
      </c>
      <c r="D131" s="187">
        <v>1</v>
      </c>
      <c r="E131" s="102">
        <v>37400</v>
      </c>
      <c r="F131" s="189"/>
      <c r="G131" s="190"/>
      <c r="H131" s="190"/>
      <c r="J131" s="125"/>
      <c r="L131" s="188"/>
      <c r="N131" s="125"/>
    </row>
    <row r="132" spans="2:16" ht="31.25" x14ac:dyDescent="0.25">
      <c r="B132" s="153">
        <v>3</v>
      </c>
      <c r="C132" s="175" t="s">
        <v>342</v>
      </c>
      <c r="D132" s="187">
        <v>1</v>
      </c>
      <c r="E132" s="102">
        <v>20541.689999999999</v>
      </c>
      <c r="F132" s="320"/>
      <c r="G132" s="320"/>
      <c r="J132" s="125"/>
      <c r="L132" s="188"/>
      <c r="N132" s="125"/>
    </row>
    <row r="133" spans="2:16" ht="32.299999999999997" customHeight="1" x14ac:dyDescent="0.25">
      <c r="B133" s="153">
        <v>4</v>
      </c>
      <c r="C133" s="175" t="s">
        <v>343</v>
      </c>
      <c r="D133" s="187">
        <v>1</v>
      </c>
      <c r="E133" s="102">
        <v>4000</v>
      </c>
      <c r="F133" s="191"/>
      <c r="G133" s="191"/>
      <c r="L133" s="188"/>
      <c r="N133" s="125"/>
    </row>
    <row r="134" spans="2:16" ht="25.5" customHeight="1" x14ac:dyDescent="0.25">
      <c r="B134" s="153">
        <v>5</v>
      </c>
      <c r="C134" s="175" t="s">
        <v>344</v>
      </c>
      <c r="D134" s="187">
        <v>1</v>
      </c>
      <c r="E134" s="102">
        <v>100000</v>
      </c>
      <c r="F134" s="191"/>
      <c r="G134" s="191"/>
      <c r="L134" s="188"/>
      <c r="N134" s="125"/>
    </row>
    <row r="135" spans="2:16" ht="31.25" x14ac:dyDescent="0.25">
      <c r="B135" s="153">
        <v>6</v>
      </c>
      <c r="C135" s="175" t="s">
        <v>345</v>
      </c>
      <c r="D135" s="187">
        <v>1</v>
      </c>
      <c r="E135" s="102">
        <v>20000</v>
      </c>
      <c r="F135" s="191"/>
      <c r="G135" s="191"/>
      <c r="L135" s="188"/>
      <c r="N135" s="125"/>
    </row>
    <row r="136" spans="2:16" ht="15.65" x14ac:dyDescent="0.25">
      <c r="B136" s="153">
        <v>8</v>
      </c>
      <c r="C136" s="175" t="s">
        <v>346</v>
      </c>
      <c r="D136" s="187">
        <v>1</v>
      </c>
      <c r="E136" s="102">
        <v>40000</v>
      </c>
      <c r="F136" s="191"/>
      <c r="G136" s="191"/>
      <c r="L136" s="188"/>
      <c r="N136" s="125"/>
    </row>
    <row r="137" spans="2:16" ht="15.65" x14ac:dyDescent="0.25">
      <c r="B137" s="153">
        <v>9</v>
      </c>
      <c r="C137" s="175" t="s">
        <v>347</v>
      </c>
      <c r="D137" s="187">
        <v>1</v>
      </c>
      <c r="E137" s="102">
        <f>191825+316410</f>
        <v>508235</v>
      </c>
      <c r="F137" s="191"/>
      <c r="G137" s="191"/>
      <c r="L137" s="188"/>
      <c r="N137" s="125"/>
    </row>
    <row r="138" spans="2:16" ht="15.65" x14ac:dyDescent="0.25">
      <c r="B138" s="153"/>
      <c r="C138" s="174" t="s">
        <v>160</v>
      </c>
      <c r="D138" s="153" t="s">
        <v>58</v>
      </c>
      <c r="E138" s="205">
        <f>E130+E131+E132+E133+E134+E135+E136+E137</f>
        <v>732410</v>
      </c>
      <c r="F138" s="320"/>
      <c r="G138" s="320"/>
      <c r="H138" s="125"/>
      <c r="L138" s="192"/>
      <c r="N138" s="186"/>
    </row>
    <row r="139" spans="2:16" x14ac:dyDescent="0.25">
      <c r="H139" s="125"/>
      <c r="J139" s="125"/>
      <c r="L139" s="186"/>
      <c r="N139" s="186"/>
    </row>
    <row r="140" spans="2:16" x14ac:dyDescent="0.25">
      <c r="H140" s="125"/>
      <c r="L140" s="186"/>
      <c r="N140" s="186"/>
    </row>
    <row r="141" spans="2:16" x14ac:dyDescent="0.25">
      <c r="B141" s="329" t="s">
        <v>348</v>
      </c>
      <c r="C141" s="329"/>
      <c r="D141" s="329"/>
      <c r="E141" s="329"/>
      <c r="F141" s="329"/>
      <c r="G141" s="329"/>
    </row>
    <row r="142" spans="2:16" x14ac:dyDescent="0.25">
      <c r="C142" s="10"/>
      <c r="D142" s="10"/>
      <c r="E142" s="10"/>
      <c r="F142" s="10"/>
      <c r="G142" s="10"/>
      <c r="H142" s="193"/>
      <c r="J142" s="194"/>
      <c r="L142" s="181"/>
      <c r="N142" s="180"/>
    </row>
    <row r="143" spans="2:16" ht="31.25" x14ac:dyDescent="0.25">
      <c r="B143" s="153" t="s">
        <v>271</v>
      </c>
      <c r="C143" s="153" t="s">
        <v>295</v>
      </c>
      <c r="D143" s="153" t="s">
        <v>349</v>
      </c>
      <c r="E143" s="153" t="s">
        <v>339</v>
      </c>
      <c r="F143" s="153" t="s">
        <v>377</v>
      </c>
      <c r="G143" s="190"/>
      <c r="N143" s="180"/>
      <c r="P143" s="125"/>
    </row>
    <row r="144" spans="2:16" ht="15.65" x14ac:dyDescent="0.25">
      <c r="B144" s="153">
        <v>1</v>
      </c>
      <c r="C144" s="153">
        <v>2</v>
      </c>
      <c r="D144" s="153">
        <v>3</v>
      </c>
      <c r="E144" s="153">
        <v>4</v>
      </c>
      <c r="F144" s="170"/>
      <c r="G144" s="190"/>
      <c r="N144" s="180"/>
    </row>
    <row r="145" spans="2:15" ht="15.65" x14ac:dyDescent="0.25">
      <c r="B145" s="153">
        <v>1</v>
      </c>
      <c r="C145" s="175" t="s">
        <v>350</v>
      </c>
      <c r="D145" s="187">
        <v>4</v>
      </c>
      <c r="E145" s="102">
        <v>28000</v>
      </c>
      <c r="F145" s="195">
        <f>D145*E145</f>
        <v>112000</v>
      </c>
      <c r="G145" s="190"/>
    </row>
    <row r="146" spans="2:15" ht="15.65" x14ac:dyDescent="0.25">
      <c r="B146" s="153">
        <v>2</v>
      </c>
      <c r="C146" s="175" t="s">
        <v>351</v>
      </c>
      <c r="D146" s="187">
        <v>100</v>
      </c>
      <c r="E146" s="102">
        <v>401.99990000000003</v>
      </c>
      <c r="F146" s="195">
        <f>D146*E146</f>
        <v>40199.990000000005</v>
      </c>
      <c r="G146" s="190"/>
      <c r="N146" s="125"/>
    </row>
    <row r="147" spans="2:15" ht="15.65" x14ac:dyDescent="0.25">
      <c r="B147" s="153">
        <v>3</v>
      </c>
      <c r="C147" s="175" t="s">
        <v>352</v>
      </c>
      <c r="D147" s="187">
        <v>400</v>
      </c>
      <c r="E147" s="102">
        <v>259.99</v>
      </c>
      <c r="F147" s="195">
        <f>D147*E147</f>
        <v>103996</v>
      </c>
      <c r="G147" s="190"/>
      <c r="N147" s="125"/>
    </row>
    <row r="148" spans="2:15" ht="15.65" x14ac:dyDescent="0.25">
      <c r="B148" s="153">
        <v>4</v>
      </c>
      <c r="C148" s="175" t="s">
        <v>353</v>
      </c>
      <c r="D148" s="187">
        <v>48</v>
      </c>
      <c r="E148" s="102">
        <v>2950</v>
      </c>
      <c r="F148" s="195">
        <f>D148*E148+139194</f>
        <v>280794</v>
      </c>
      <c r="G148" s="190"/>
      <c r="N148" s="125"/>
    </row>
    <row r="149" spans="2:15" ht="15.65" x14ac:dyDescent="0.25">
      <c r="B149" s="153">
        <v>5</v>
      </c>
      <c r="C149" s="175" t="s">
        <v>354</v>
      </c>
      <c r="D149" s="187">
        <v>50</v>
      </c>
      <c r="E149" s="102">
        <v>992.48</v>
      </c>
      <c r="F149" s="195">
        <f t="shared" ref="F149" si="11">D149*E149</f>
        <v>49624</v>
      </c>
      <c r="G149" s="190"/>
      <c r="L149" s="186"/>
    </row>
    <row r="150" spans="2:15" ht="15.65" x14ac:dyDescent="0.25">
      <c r="B150" s="153">
        <v>6</v>
      </c>
      <c r="C150" s="175" t="s">
        <v>355</v>
      </c>
      <c r="D150" s="187">
        <v>5</v>
      </c>
      <c r="E150" s="102">
        <v>73000</v>
      </c>
      <c r="F150" s="195">
        <f>D150*E150</f>
        <v>365000</v>
      </c>
      <c r="G150" s="190"/>
      <c r="L150" s="186"/>
    </row>
    <row r="151" spans="2:15" ht="15.65" x14ac:dyDescent="0.25">
      <c r="B151" s="153">
        <v>7</v>
      </c>
      <c r="C151" s="175" t="s">
        <v>356</v>
      </c>
      <c r="D151" s="187"/>
      <c r="E151" s="102"/>
      <c r="F151" s="195">
        <v>12580</v>
      </c>
      <c r="G151" s="190"/>
      <c r="L151" s="186"/>
    </row>
    <row r="152" spans="2:15" ht="15.65" x14ac:dyDescent="0.25">
      <c r="B152" s="153">
        <v>8</v>
      </c>
      <c r="C152" s="175" t="s">
        <v>357</v>
      </c>
      <c r="D152" s="187">
        <v>350</v>
      </c>
      <c r="E152" s="102">
        <v>1000</v>
      </c>
      <c r="F152" s="195">
        <f>D152*E152-67000</f>
        <v>283000</v>
      </c>
      <c r="G152" s="190"/>
      <c r="L152" s="186"/>
    </row>
    <row r="153" spans="2:15" ht="15.65" x14ac:dyDescent="0.25">
      <c r="B153" s="153">
        <v>9</v>
      </c>
      <c r="C153" s="175" t="s">
        <v>358</v>
      </c>
      <c r="D153" s="187">
        <v>5</v>
      </c>
      <c r="E153" s="102">
        <v>34000</v>
      </c>
      <c r="F153" s="195">
        <f>D153*E153</f>
        <v>170000</v>
      </c>
      <c r="G153" s="190"/>
      <c r="J153" s="125"/>
      <c r="K153" s="180"/>
      <c r="L153" s="180"/>
      <c r="M153" s="180"/>
      <c r="N153" s="180"/>
    </row>
    <row r="154" spans="2:15" ht="15.65" x14ac:dyDescent="0.25">
      <c r="B154" s="153"/>
      <c r="C154" s="174" t="s">
        <v>160</v>
      </c>
      <c r="D154" s="153" t="s">
        <v>58</v>
      </c>
      <c r="E154" s="153" t="s">
        <v>276</v>
      </c>
      <c r="F154" s="239">
        <f>F145+F146+F147+F148+F149+F150++F151+F152+F153+0.01</f>
        <v>1417194</v>
      </c>
      <c r="G154" s="190"/>
      <c r="H154" s="188"/>
      <c r="J154" s="125"/>
      <c r="K154" s="180"/>
      <c r="L154" s="180"/>
      <c r="M154" s="186"/>
      <c r="N154" s="186"/>
      <c r="O154" s="125"/>
    </row>
    <row r="155" spans="2:15" ht="15.65" x14ac:dyDescent="0.25">
      <c r="B155" s="209"/>
      <c r="C155" s="196"/>
      <c r="D155" s="209"/>
      <c r="E155" s="211"/>
      <c r="F155" s="211"/>
      <c r="G155" s="190"/>
      <c r="H155" s="188"/>
      <c r="J155" s="125"/>
      <c r="K155" s="180"/>
      <c r="L155" s="180"/>
      <c r="M155" s="186"/>
      <c r="N155" s="180"/>
      <c r="O155" s="125"/>
    </row>
    <row r="156" spans="2:15" ht="15.65" x14ac:dyDescent="0.25">
      <c r="B156" s="209"/>
      <c r="C156" s="196"/>
      <c r="D156" s="209"/>
      <c r="E156" s="190"/>
      <c r="F156" s="190"/>
      <c r="G156" s="190"/>
      <c r="H156" s="188"/>
      <c r="J156" s="125"/>
      <c r="K156" s="180"/>
      <c r="L156" s="180"/>
      <c r="M156" s="186"/>
      <c r="N156" s="180"/>
      <c r="O156" s="125"/>
    </row>
    <row r="157" spans="2:15" ht="14.95" customHeight="1" x14ac:dyDescent="0.25">
      <c r="E157" s="190"/>
      <c r="F157" s="190"/>
      <c r="G157" s="190"/>
      <c r="L157" s="186"/>
      <c r="N157" s="186"/>
    </row>
    <row r="158" spans="2:15" ht="15.65" x14ac:dyDescent="0.25">
      <c r="C158" s="287" t="s">
        <v>359</v>
      </c>
      <c r="D158" s="287"/>
      <c r="E158" s="287"/>
      <c r="F158" s="287"/>
      <c r="G158" s="287"/>
      <c r="H158" s="287"/>
      <c r="I158" s="287"/>
      <c r="J158" s="287"/>
      <c r="K158" s="287"/>
      <c r="L158" s="287"/>
      <c r="M158" s="287"/>
      <c r="N158" s="287"/>
    </row>
    <row r="159" spans="2:15" x14ac:dyDescent="0.25">
      <c r="B159" s="329"/>
      <c r="C159" s="329"/>
      <c r="D159" s="329"/>
      <c r="E159" s="329"/>
      <c r="F159" s="329"/>
      <c r="G159" s="329"/>
    </row>
    <row r="160" spans="2:15" ht="15.65" x14ac:dyDescent="0.25">
      <c r="C160" s="326" t="s">
        <v>360</v>
      </c>
      <c r="D160" s="329"/>
      <c r="E160" s="329"/>
      <c r="F160" s="329"/>
      <c r="G160" s="329"/>
      <c r="H160" s="329"/>
      <c r="I160" s="329"/>
      <c r="J160" s="329"/>
    </row>
    <row r="161" spans="2:25" ht="15.65" x14ac:dyDescent="0.25">
      <c r="B161" s="191"/>
      <c r="C161" s="191"/>
      <c r="D161" s="191"/>
      <c r="E161" s="191"/>
      <c r="F161" s="191"/>
      <c r="G161" s="190"/>
    </row>
    <row r="162" spans="2:25" x14ac:dyDescent="0.25">
      <c r="B162" s="328" t="s">
        <v>361</v>
      </c>
      <c r="C162" s="328"/>
      <c r="D162" s="328"/>
      <c r="E162" s="328"/>
      <c r="F162" s="328"/>
      <c r="G162" s="328"/>
      <c r="H162" s="328"/>
      <c r="I162" s="328"/>
      <c r="J162" s="328"/>
      <c r="K162" s="328"/>
      <c r="L162" s="328"/>
      <c r="M162" s="328"/>
    </row>
    <row r="163" spans="2:25" x14ac:dyDescent="0.25">
      <c r="B163" s="330" t="s">
        <v>362</v>
      </c>
      <c r="C163" s="330"/>
      <c r="D163" s="330"/>
      <c r="E163" s="330"/>
      <c r="F163" s="330"/>
      <c r="G163" s="330"/>
      <c r="H163" s="330"/>
      <c r="I163" s="330"/>
      <c r="J163" s="330"/>
      <c r="K163" s="330"/>
      <c r="L163" s="330"/>
      <c r="M163" s="330"/>
    </row>
    <row r="164" spans="2:25" ht="15.65" x14ac:dyDescent="0.25">
      <c r="B164" s="191"/>
      <c r="C164" s="191"/>
      <c r="D164" s="191"/>
      <c r="E164" s="191"/>
      <c r="F164" s="191"/>
      <c r="G164" s="190"/>
    </row>
    <row r="165" spans="2:25" ht="62.5" x14ac:dyDescent="0.25">
      <c r="B165" s="153" t="s">
        <v>271</v>
      </c>
      <c r="C165" s="331" t="s">
        <v>295</v>
      </c>
      <c r="D165" s="295"/>
      <c r="E165" s="153" t="s">
        <v>363</v>
      </c>
      <c r="F165" s="153" t="s">
        <v>268</v>
      </c>
      <c r="G165" s="153" t="s">
        <v>269</v>
      </c>
      <c r="H165" s="170" t="s">
        <v>364</v>
      </c>
    </row>
    <row r="166" spans="2:25" ht="15.65" x14ac:dyDescent="0.25">
      <c r="B166" s="153">
        <v>1</v>
      </c>
      <c r="C166" s="331">
        <v>2</v>
      </c>
      <c r="D166" s="295"/>
      <c r="E166" s="153">
        <v>3</v>
      </c>
      <c r="F166" s="152">
        <v>4</v>
      </c>
      <c r="G166" s="152">
        <v>5</v>
      </c>
      <c r="H166" s="152">
        <v>6</v>
      </c>
    </row>
    <row r="167" spans="2:25" ht="31.6" customHeight="1" x14ac:dyDescent="0.25">
      <c r="B167" s="241">
        <v>1</v>
      </c>
      <c r="C167" s="338" t="s">
        <v>400</v>
      </c>
      <c r="D167" s="339"/>
      <c r="E167" s="242">
        <v>17345.757249999999</v>
      </c>
      <c r="F167" s="240">
        <v>40</v>
      </c>
      <c r="G167" s="240" t="s">
        <v>58</v>
      </c>
      <c r="H167" s="240">
        <f>E167*F167-17000</f>
        <v>676830.28999999992</v>
      </c>
    </row>
    <row r="168" spans="2:25" ht="15.65" x14ac:dyDescent="0.25">
      <c r="B168" s="206">
        <v>2</v>
      </c>
      <c r="C168" s="336" t="s">
        <v>388</v>
      </c>
      <c r="D168" s="337"/>
      <c r="E168" s="207">
        <v>75</v>
      </c>
      <c r="F168" s="197">
        <v>109</v>
      </c>
      <c r="G168" s="197" t="s">
        <v>58</v>
      </c>
      <c r="H168" s="197">
        <v>42072.67</v>
      </c>
      <c r="J168" s="125"/>
      <c r="L168" s="125"/>
    </row>
    <row r="169" spans="2:25" ht="15.65" x14ac:dyDescent="0.25">
      <c r="B169" s="153"/>
      <c r="C169" s="334" t="s">
        <v>160</v>
      </c>
      <c r="D169" s="335"/>
      <c r="E169" s="102" t="s">
        <v>58</v>
      </c>
      <c r="F169" s="102" t="s">
        <v>58</v>
      </c>
      <c r="G169" s="102" t="s">
        <v>58</v>
      </c>
      <c r="H169" s="238">
        <f>H168+H167</f>
        <v>718902.96</v>
      </c>
      <c r="J169" s="125"/>
      <c r="L169" s="125"/>
    </row>
    <row r="170" spans="2:25" ht="15.65" x14ac:dyDescent="0.25">
      <c r="B170" s="191"/>
      <c r="C170" s="198"/>
      <c r="D170" s="199"/>
      <c r="E170" s="200"/>
      <c r="F170" s="201"/>
      <c r="G170" s="190"/>
      <c r="L170" s="125"/>
      <c r="M170" s="125"/>
    </row>
    <row r="171" spans="2:25" ht="15.65" x14ac:dyDescent="0.25">
      <c r="B171" s="191"/>
      <c r="C171" s="320" t="s">
        <v>294</v>
      </c>
      <c r="D171" s="320"/>
      <c r="E171" s="320"/>
      <c r="F171" s="320"/>
      <c r="G171" s="320"/>
      <c r="H171" s="320"/>
      <c r="I171" s="320"/>
      <c r="J171" s="320"/>
      <c r="M171" s="125"/>
      <c r="N171" s="328"/>
      <c r="O171" s="328"/>
      <c r="P171" s="328"/>
      <c r="Q171" s="328"/>
      <c r="R171" s="328"/>
      <c r="S171" s="328"/>
      <c r="T171" s="328"/>
      <c r="U171" s="328"/>
      <c r="V171" s="328"/>
      <c r="W171" s="328"/>
      <c r="X171" s="328"/>
      <c r="Y171" s="328"/>
    </row>
    <row r="172" spans="2:25" ht="15.65" x14ac:dyDescent="0.25">
      <c r="B172" s="191"/>
      <c r="C172" s="198"/>
      <c r="D172" s="199"/>
      <c r="E172" s="200"/>
      <c r="F172" s="201"/>
      <c r="G172" s="190"/>
      <c r="N172" s="330"/>
      <c r="O172" s="330"/>
      <c r="P172" s="330"/>
      <c r="Q172" s="330"/>
      <c r="R172" s="330"/>
      <c r="S172" s="330"/>
      <c r="T172" s="330"/>
      <c r="U172" s="330"/>
      <c r="V172" s="330"/>
      <c r="W172" s="330"/>
      <c r="X172" s="330"/>
      <c r="Y172" s="330"/>
    </row>
    <row r="173" spans="2:25" x14ac:dyDescent="0.25">
      <c r="B173" s="328" t="s">
        <v>365</v>
      </c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</row>
    <row r="174" spans="2:25" x14ac:dyDescent="0.25">
      <c r="B174" s="332" t="s">
        <v>366</v>
      </c>
      <c r="C174" s="332"/>
      <c r="D174" s="332"/>
      <c r="E174" s="332"/>
      <c r="F174" s="332"/>
      <c r="G174" s="332"/>
      <c r="H174" s="332"/>
      <c r="I174" s="332"/>
      <c r="J174" s="332"/>
      <c r="K174" s="332"/>
      <c r="L174" s="332"/>
      <c r="M174" s="332"/>
    </row>
    <row r="175" spans="2:25" ht="15.65" x14ac:dyDescent="0.25">
      <c r="B175" s="191"/>
      <c r="C175" s="198"/>
      <c r="D175" s="199"/>
      <c r="E175" s="200"/>
      <c r="F175" s="201"/>
      <c r="G175" s="190"/>
      <c r="L175" s="186"/>
    </row>
    <row r="176" spans="2:25" ht="31.25" x14ac:dyDescent="0.25">
      <c r="B176" s="153" t="s">
        <v>271</v>
      </c>
      <c r="C176" s="153" t="s">
        <v>295</v>
      </c>
      <c r="D176" s="153" t="s">
        <v>296</v>
      </c>
      <c r="E176" s="153" t="s">
        <v>297</v>
      </c>
      <c r="F176" s="289" t="s">
        <v>298</v>
      </c>
      <c r="G176" s="289"/>
      <c r="L176" s="186"/>
    </row>
    <row r="177" spans="2:15" ht="15.65" x14ac:dyDescent="0.25">
      <c r="B177" s="153">
        <v>1</v>
      </c>
      <c r="C177" s="153">
        <v>2</v>
      </c>
      <c r="D177" s="153">
        <v>3</v>
      </c>
      <c r="E177" s="153">
        <v>4</v>
      </c>
      <c r="F177" s="289">
        <v>5</v>
      </c>
      <c r="G177" s="289"/>
      <c r="J177" s="186"/>
      <c r="L177" s="186"/>
    </row>
    <row r="178" spans="2:15" ht="39.1" customHeight="1" x14ac:dyDescent="0.25">
      <c r="B178" s="153">
        <v>1</v>
      </c>
      <c r="C178" s="175" t="s">
        <v>367</v>
      </c>
      <c r="D178" s="153" t="s">
        <v>206</v>
      </c>
      <c r="E178" s="153" t="s">
        <v>206</v>
      </c>
      <c r="F178" s="333">
        <v>1030000</v>
      </c>
      <c r="G178" s="333"/>
      <c r="J178" s="186"/>
      <c r="L178" s="186"/>
      <c r="M178" s="161"/>
    </row>
    <row r="179" spans="2:15" ht="15.65" x14ac:dyDescent="0.25">
      <c r="B179" s="153">
        <v>2</v>
      </c>
      <c r="C179" s="175" t="s">
        <v>390</v>
      </c>
      <c r="D179" s="153" t="s">
        <v>206</v>
      </c>
      <c r="E179" s="153" t="s">
        <v>206</v>
      </c>
      <c r="F179" s="322">
        <f>85291.05*3</f>
        <v>255873.15000000002</v>
      </c>
      <c r="G179" s="323"/>
      <c r="J179" s="186"/>
      <c r="L179" s="186"/>
    </row>
    <row r="180" spans="2:15" ht="15.65" x14ac:dyDescent="0.25">
      <c r="B180" s="153"/>
      <c r="C180" s="174" t="s">
        <v>160</v>
      </c>
      <c r="D180" s="153"/>
      <c r="E180" s="153" t="s">
        <v>276</v>
      </c>
      <c r="F180" s="324">
        <f>F178+F179</f>
        <v>1285873.1499999999</v>
      </c>
      <c r="G180" s="325"/>
      <c r="J180" s="186"/>
    </row>
    <row r="182" spans="2:15" ht="15.65" x14ac:dyDescent="0.25">
      <c r="C182" s="326" t="s">
        <v>368</v>
      </c>
      <c r="D182" s="327"/>
      <c r="E182" s="327"/>
      <c r="F182" s="327"/>
      <c r="G182" s="327"/>
      <c r="H182" s="327"/>
      <c r="I182" s="327"/>
      <c r="J182" s="327"/>
    </row>
    <row r="184" spans="2:15" x14ac:dyDescent="0.25">
      <c r="B184" s="328" t="s">
        <v>369</v>
      </c>
      <c r="C184" s="328"/>
      <c r="D184" s="328"/>
      <c r="E184" s="328"/>
      <c r="F184" s="328"/>
      <c r="G184" s="328"/>
      <c r="H184" s="328"/>
      <c r="I184" s="328"/>
      <c r="J184" s="328"/>
      <c r="K184" s="328"/>
      <c r="L184" s="328"/>
      <c r="M184" s="328"/>
    </row>
    <row r="185" spans="2:15" x14ac:dyDescent="0.25">
      <c r="B185" s="328" t="s">
        <v>370</v>
      </c>
      <c r="C185" s="328"/>
      <c r="D185" s="328"/>
      <c r="E185" s="328"/>
      <c r="F185" s="328"/>
      <c r="G185" s="328"/>
      <c r="H185" s="328"/>
      <c r="I185" s="328"/>
      <c r="J185" s="328"/>
      <c r="K185" s="328"/>
      <c r="L185" s="328"/>
      <c r="M185" s="328"/>
    </row>
    <row r="187" spans="2:15" ht="31.25" x14ac:dyDescent="0.25">
      <c r="B187" s="153" t="s">
        <v>271</v>
      </c>
      <c r="C187" s="153" t="s">
        <v>295</v>
      </c>
      <c r="D187" s="153" t="s">
        <v>338</v>
      </c>
      <c r="E187" s="153" t="s">
        <v>339</v>
      </c>
    </row>
    <row r="188" spans="2:15" ht="15.65" x14ac:dyDescent="0.25">
      <c r="B188" s="153">
        <v>1</v>
      </c>
      <c r="C188" s="153">
        <v>2</v>
      </c>
      <c r="D188" s="153">
        <v>3</v>
      </c>
      <c r="E188" s="153">
        <v>4</v>
      </c>
    </row>
    <row r="189" spans="2:15" ht="83.25" customHeight="1" x14ac:dyDescent="0.25">
      <c r="B189" s="153">
        <v>1</v>
      </c>
      <c r="C189" s="175" t="s">
        <v>374</v>
      </c>
      <c r="D189" s="153">
        <v>1</v>
      </c>
      <c r="E189" s="102">
        <v>995401.94</v>
      </c>
    </row>
    <row r="190" spans="2:15" ht="23.95" customHeight="1" x14ac:dyDescent="0.25">
      <c r="B190" s="153">
        <v>2</v>
      </c>
      <c r="C190" s="175" t="s">
        <v>371</v>
      </c>
      <c r="D190" s="153">
        <v>1</v>
      </c>
      <c r="E190" s="102">
        <v>30000</v>
      </c>
      <c r="F190" s="202"/>
      <c r="G190" s="228"/>
      <c r="J190" s="231">
        <f>E191+F180+H169</f>
        <v>3030178.05</v>
      </c>
      <c r="N190" s="231">
        <f>J190+F154+E138+F123+H107+H96+E79+K59+P50</f>
        <v>75348834.115809977</v>
      </c>
    </row>
    <row r="191" spans="2:15" ht="15.65" x14ac:dyDescent="0.25">
      <c r="B191" s="153"/>
      <c r="C191" s="174" t="s">
        <v>160</v>
      </c>
      <c r="D191" s="153" t="s">
        <v>276</v>
      </c>
      <c r="E191" s="205">
        <f>E189+E190</f>
        <v>1025401.94</v>
      </c>
      <c r="F191" s="168"/>
      <c r="G191" s="168"/>
      <c r="L191" s="125"/>
      <c r="M191" s="186"/>
      <c r="N191" s="125"/>
      <c r="O191" s="125"/>
    </row>
    <row r="192" spans="2:15" ht="30.75" customHeight="1" x14ac:dyDescent="0.25">
      <c r="B192" s="191"/>
      <c r="C192" s="191"/>
      <c r="D192" s="191"/>
      <c r="E192" s="191"/>
      <c r="F192" s="191"/>
      <c r="G192" s="190"/>
      <c r="H192" s="203"/>
      <c r="M192" s="180"/>
    </row>
    <row r="193" spans="2:15" ht="15.8" customHeight="1" x14ac:dyDescent="0.25">
      <c r="B193" s="191"/>
      <c r="C193" s="198" t="s">
        <v>375</v>
      </c>
      <c r="D193" s="320" t="s">
        <v>376</v>
      </c>
      <c r="E193" s="320"/>
      <c r="F193" s="320" t="s">
        <v>401</v>
      </c>
      <c r="G193" s="320"/>
      <c r="N193" s="125"/>
      <c r="O193" s="125"/>
    </row>
    <row r="194" spans="2:15" ht="15.65" x14ac:dyDescent="0.25">
      <c r="B194" s="191"/>
      <c r="C194" s="198"/>
      <c r="D194" s="321" t="s">
        <v>161</v>
      </c>
      <c r="E194" s="321"/>
      <c r="F194" s="201"/>
      <c r="G194" s="190"/>
      <c r="M194" s="180"/>
    </row>
    <row r="195" spans="2:15" ht="15.65" x14ac:dyDescent="0.25">
      <c r="B195" s="191"/>
      <c r="C195" s="198"/>
      <c r="D195" s="199"/>
      <c r="E195" s="200"/>
      <c r="F195" s="201"/>
      <c r="G195" s="190"/>
      <c r="M195" s="180"/>
      <c r="O195" s="125"/>
    </row>
    <row r="196" spans="2:15" x14ac:dyDescent="0.25">
      <c r="M196" s="180"/>
    </row>
  </sheetData>
  <mergeCells count="234">
    <mergeCell ref="F25:G25"/>
    <mergeCell ref="H25:I25"/>
    <mergeCell ref="J25:K25"/>
    <mergeCell ref="J27:K27"/>
    <mergeCell ref="J29:K29"/>
    <mergeCell ref="H27:I27"/>
    <mergeCell ref="H29:I29"/>
    <mergeCell ref="F27:G27"/>
    <mergeCell ref="F29:G29"/>
    <mergeCell ref="B2:N2"/>
    <mergeCell ref="B4:M4"/>
    <mergeCell ref="B5:M5"/>
    <mergeCell ref="B6:M6"/>
    <mergeCell ref="B10:B12"/>
    <mergeCell ref="C10:C12"/>
    <mergeCell ref="D10:D12"/>
    <mergeCell ref="E10:K10"/>
    <mergeCell ref="L10:L12"/>
    <mergeCell ref="M10:M12"/>
    <mergeCell ref="N10:N12"/>
    <mergeCell ref="E8:L8"/>
    <mergeCell ref="O10:O12"/>
    <mergeCell ref="P10:P12"/>
    <mergeCell ref="E11:E12"/>
    <mergeCell ref="F11:K11"/>
    <mergeCell ref="F12:G12"/>
    <mergeCell ref="H12:I12"/>
    <mergeCell ref="J12:K12"/>
    <mergeCell ref="F15:G15"/>
    <mergeCell ref="H15:I15"/>
    <mergeCell ref="J15:K15"/>
    <mergeCell ref="F16:G16"/>
    <mergeCell ref="H16:I16"/>
    <mergeCell ref="J16:K16"/>
    <mergeCell ref="F13:G13"/>
    <mergeCell ref="H13:I13"/>
    <mergeCell ref="J13:K13"/>
    <mergeCell ref="F14:G14"/>
    <mergeCell ref="H14:I14"/>
    <mergeCell ref="J14:K14"/>
    <mergeCell ref="F21:G21"/>
    <mergeCell ref="H21:I21"/>
    <mergeCell ref="J21:K21"/>
    <mergeCell ref="F24:G24"/>
    <mergeCell ref="H24:I24"/>
    <mergeCell ref="J24:K24"/>
    <mergeCell ref="F17:G17"/>
    <mergeCell ref="H17:I17"/>
    <mergeCell ref="J17:K17"/>
    <mergeCell ref="F20:G20"/>
    <mergeCell ref="H20:I20"/>
    <mergeCell ref="J20:K20"/>
    <mergeCell ref="F18:G18"/>
    <mergeCell ref="F19:G19"/>
    <mergeCell ref="H18:I18"/>
    <mergeCell ref="H19:I19"/>
    <mergeCell ref="J18:K18"/>
    <mergeCell ref="J19:K19"/>
    <mergeCell ref="F22:G22"/>
    <mergeCell ref="F23:G23"/>
    <mergeCell ref="J22:K22"/>
    <mergeCell ref="J23:K23"/>
    <mergeCell ref="H22:I22"/>
    <mergeCell ref="H23:I23"/>
    <mergeCell ref="F30:G30"/>
    <mergeCell ref="H30:I30"/>
    <mergeCell ref="J30:K30"/>
    <mergeCell ref="F31:G31"/>
    <mergeCell ref="H31:I31"/>
    <mergeCell ref="J31:K31"/>
    <mergeCell ref="F26:G26"/>
    <mergeCell ref="H26:I26"/>
    <mergeCell ref="J26:K26"/>
    <mergeCell ref="F28:G28"/>
    <mergeCell ref="H28:I28"/>
    <mergeCell ref="J28:K28"/>
    <mergeCell ref="F34:G34"/>
    <mergeCell ref="H34:I34"/>
    <mergeCell ref="J34:K34"/>
    <mergeCell ref="F35:G35"/>
    <mergeCell ref="H35:I35"/>
    <mergeCell ref="J35:K35"/>
    <mergeCell ref="F32:G32"/>
    <mergeCell ref="H32:I32"/>
    <mergeCell ref="J32:K32"/>
    <mergeCell ref="F33:G33"/>
    <mergeCell ref="H33:I33"/>
    <mergeCell ref="J33:K33"/>
    <mergeCell ref="F38:G38"/>
    <mergeCell ref="H38:I38"/>
    <mergeCell ref="J38:K38"/>
    <mergeCell ref="F39:G39"/>
    <mergeCell ref="H39:I39"/>
    <mergeCell ref="J39:K39"/>
    <mergeCell ref="F36:G36"/>
    <mergeCell ref="H36:I36"/>
    <mergeCell ref="J36:K36"/>
    <mergeCell ref="F37:G37"/>
    <mergeCell ref="H37:I37"/>
    <mergeCell ref="J37:K37"/>
    <mergeCell ref="F42:G42"/>
    <mergeCell ref="H42:I42"/>
    <mergeCell ref="J42:K42"/>
    <mergeCell ref="F43:G43"/>
    <mergeCell ref="H43:I43"/>
    <mergeCell ref="J43:K43"/>
    <mergeCell ref="F40:G40"/>
    <mergeCell ref="H40:I40"/>
    <mergeCell ref="J40:K40"/>
    <mergeCell ref="F41:G41"/>
    <mergeCell ref="H41:I41"/>
    <mergeCell ref="J41:K41"/>
    <mergeCell ref="F46:G46"/>
    <mergeCell ref="H46:I46"/>
    <mergeCell ref="J46:K46"/>
    <mergeCell ref="F47:G47"/>
    <mergeCell ref="H47:I47"/>
    <mergeCell ref="J47:K47"/>
    <mergeCell ref="F44:G44"/>
    <mergeCell ref="H44:I44"/>
    <mergeCell ref="J44:K44"/>
    <mergeCell ref="F45:G45"/>
    <mergeCell ref="H45:I45"/>
    <mergeCell ref="J45:K45"/>
    <mergeCell ref="F50:G50"/>
    <mergeCell ref="H50:I50"/>
    <mergeCell ref="J50:K50"/>
    <mergeCell ref="F48:G48"/>
    <mergeCell ref="H48:I48"/>
    <mergeCell ref="J48:K48"/>
    <mergeCell ref="F49:G49"/>
    <mergeCell ref="H49:I49"/>
    <mergeCell ref="J49:K49"/>
    <mergeCell ref="B61:M61"/>
    <mergeCell ref="B67:B68"/>
    <mergeCell ref="D67:D68"/>
    <mergeCell ref="E67:E68"/>
    <mergeCell ref="B72:B73"/>
    <mergeCell ref="D72:D73"/>
    <mergeCell ref="E72:E73"/>
    <mergeCell ref="B83:M83"/>
    <mergeCell ref="B84:M84"/>
    <mergeCell ref="B86:G86"/>
    <mergeCell ref="F88:G88"/>
    <mergeCell ref="F89:G89"/>
    <mergeCell ref="F90:G90"/>
    <mergeCell ref="B81:H81"/>
    <mergeCell ref="F91:G91"/>
    <mergeCell ref="F92:G92"/>
    <mergeCell ref="F93:G93"/>
    <mergeCell ref="F94:G94"/>
    <mergeCell ref="B109:G109"/>
    <mergeCell ref="F111:G111"/>
    <mergeCell ref="F112:G112"/>
    <mergeCell ref="F95:G95"/>
    <mergeCell ref="F96:G96"/>
    <mergeCell ref="F105:G105"/>
    <mergeCell ref="F106:G106"/>
    <mergeCell ref="F107:G107"/>
    <mergeCell ref="B98:G98"/>
    <mergeCell ref="F100:G100"/>
    <mergeCell ref="F101:G101"/>
    <mergeCell ref="F102:G102"/>
    <mergeCell ref="F103:G103"/>
    <mergeCell ref="F104:G104"/>
    <mergeCell ref="F121:G121"/>
    <mergeCell ref="F122:G122"/>
    <mergeCell ref="F123:G123"/>
    <mergeCell ref="B126:G126"/>
    <mergeCell ref="F113:G113"/>
    <mergeCell ref="F114:G114"/>
    <mergeCell ref="F115:G115"/>
    <mergeCell ref="F116:G116"/>
    <mergeCell ref="F117:G117"/>
    <mergeCell ref="F118:G118"/>
    <mergeCell ref="B173:M173"/>
    <mergeCell ref="B174:M174"/>
    <mergeCell ref="F176:G176"/>
    <mergeCell ref="F177:G177"/>
    <mergeCell ref="F178:G178"/>
    <mergeCell ref="C166:D166"/>
    <mergeCell ref="C169:D169"/>
    <mergeCell ref="C171:J171"/>
    <mergeCell ref="N171:Y171"/>
    <mergeCell ref="C168:D168"/>
    <mergeCell ref="C167:D167"/>
    <mergeCell ref="K55:M55"/>
    <mergeCell ref="D193:E193"/>
    <mergeCell ref="F193:G193"/>
    <mergeCell ref="D194:E194"/>
    <mergeCell ref="F179:G179"/>
    <mergeCell ref="F180:G180"/>
    <mergeCell ref="C182:J182"/>
    <mergeCell ref="B184:M184"/>
    <mergeCell ref="B185:M185"/>
    <mergeCell ref="C158:N158"/>
    <mergeCell ref="B159:G159"/>
    <mergeCell ref="C160:J160"/>
    <mergeCell ref="B162:M162"/>
    <mergeCell ref="B163:M163"/>
    <mergeCell ref="C165:D165"/>
    <mergeCell ref="F128:G128"/>
    <mergeCell ref="F129:G129"/>
    <mergeCell ref="F130:G130"/>
    <mergeCell ref="F132:G132"/>
    <mergeCell ref="F138:G138"/>
    <mergeCell ref="B141:G141"/>
    <mergeCell ref="F119:G119"/>
    <mergeCell ref="F120:G120"/>
    <mergeCell ref="N172:Y172"/>
    <mergeCell ref="C52:L52"/>
    <mergeCell ref="D54:F54"/>
    <mergeCell ref="G54:H54"/>
    <mergeCell ref="I54:J54"/>
    <mergeCell ref="K54:M54"/>
    <mergeCell ref="D55:F55"/>
    <mergeCell ref="G55:H55"/>
    <mergeCell ref="D59:F59"/>
    <mergeCell ref="G59:H59"/>
    <mergeCell ref="I59:J59"/>
    <mergeCell ref="K59:M59"/>
    <mergeCell ref="D56:F56"/>
    <mergeCell ref="G56:H56"/>
    <mergeCell ref="I56:J56"/>
    <mergeCell ref="K56:M56"/>
    <mergeCell ref="D57:F57"/>
    <mergeCell ref="G57:H57"/>
    <mergeCell ref="I57:J57"/>
    <mergeCell ref="K57:M57"/>
    <mergeCell ref="D58:F58"/>
    <mergeCell ref="G58:H58"/>
    <mergeCell ref="I58:J58"/>
    <mergeCell ref="K58:M58"/>
    <mergeCell ref="I55:J55"/>
  </mergeCells>
  <hyperlinks>
    <hyperlink ref="C76" location="P1256" display="P1256"/>
    <hyperlink ref="C77" location="P1256" display="P1256"/>
  </hyperlinks>
  <pageMargins left="0.70866141732283472" right="0.70866141732283472" top="0.74803149606299213" bottom="0.74803149606299213" header="0.31496062992125984" footer="0.31496062992125984"/>
  <pageSetup paperSize="9" scale="25" orientation="portrait" r:id="rId1"/>
  <rowBreaks count="1" manualBreakCount="1">
    <brk id="15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прил.1</vt:lpstr>
      <vt:lpstr>1.</vt:lpstr>
      <vt:lpstr>2.</vt:lpstr>
      <vt:lpstr>2.1</vt:lpstr>
      <vt:lpstr>3.</vt:lpstr>
      <vt:lpstr>4.</vt:lpstr>
      <vt:lpstr>4</vt:lpstr>
      <vt:lpstr>3</vt:lpstr>
      <vt:lpstr>расчёты к плану</vt:lpstr>
      <vt:lpstr>расчёты на 01.01.2019</vt:lpstr>
      <vt:lpstr>'расчёты к плану'!Область_печати</vt:lpstr>
      <vt:lpstr>'расчёты на 01.01.2019'!Область_печати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2018-12-13T07:19:44Z</dcterms:modified>
</cp:coreProperties>
</file>